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21075" windowHeight="9225" tabRatio="513"/>
  </bookViews>
  <sheets>
    <sheet name="Dati" sheetId="1" r:id="rId1"/>
    <sheet name="Note_Fonti_Calcolo" sheetId="6" r:id="rId2"/>
  </sheets>
  <definedNames>
    <definedName name="_xlnm.Print_Area" localSheetId="1">Note_Fonti_Calcolo!$A$1:$A$51</definedName>
  </definedNames>
  <calcPr calcId="145621"/>
</workbook>
</file>

<file path=xl/calcChain.xml><?xml version="1.0" encoding="utf-8"?>
<calcChain xmlns="http://schemas.openxmlformats.org/spreadsheetml/2006/main">
  <c r="C414" i="1" l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27" i="1"/>
  <c r="AI27" i="1"/>
  <c r="AJ26" i="1"/>
  <c r="AI26" i="1"/>
  <c r="AJ25" i="1"/>
  <c r="AI25" i="1"/>
  <c r="AJ24" i="1"/>
  <c r="AI24" i="1"/>
  <c r="AJ23" i="1"/>
  <c r="AI23" i="1"/>
  <c r="AJ21" i="1"/>
  <c r="AI21" i="1"/>
  <c r="AJ20" i="1"/>
  <c r="AI20" i="1"/>
  <c r="AJ19" i="1"/>
  <c r="AI19" i="1"/>
  <c r="AJ18" i="1"/>
  <c r="AI18" i="1"/>
  <c r="AJ16" i="1"/>
  <c r="AI16" i="1"/>
  <c r="AJ15" i="1"/>
  <c r="AI15" i="1"/>
  <c r="AJ14" i="1"/>
  <c r="AI14" i="1"/>
  <c r="AJ10" i="1"/>
  <c r="AI10" i="1"/>
  <c r="AB13" i="1"/>
  <c r="AB12" i="1"/>
  <c r="AB11" i="1"/>
  <c r="AB9" i="1"/>
  <c r="AJ9" i="1" s="1"/>
  <c r="AB8" i="1"/>
  <c r="AB6" i="1"/>
  <c r="K246" i="1"/>
  <c r="R212" i="1"/>
  <c r="AI9" i="1" l="1"/>
  <c r="K212" i="1" l="1"/>
  <c r="AD54" i="1" l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AD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AD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AD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AD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AD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AD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AD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AD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AD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AD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AD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AD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AD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AD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AD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AS22" i="1"/>
  <c r="AO22" i="1"/>
  <c r="AD22" i="1"/>
  <c r="AA22" i="1"/>
  <c r="AD17" i="1"/>
  <c r="AS13" i="1"/>
  <c r="AC13" i="1"/>
  <c r="AA13" i="1"/>
  <c r="Z13" i="1"/>
  <c r="Y13" i="1"/>
  <c r="AS12" i="1"/>
  <c r="AC12" i="1"/>
  <c r="AA12" i="1"/>
  <c r="Z12" i="1"/>
  <c r="Y12" i="1"/>
  <c r="AS11" i="1"/>
  <c r="AC11" i="1"/>
  <c r="AA11" i="1"/>
  <c r="Z11" i="1"/>
  <c r="Y11" i="1"/>
  <c r="AS8" i="1"/>
  <c r="AC8" i="1"/>
  <c r="AA8" i="1"/>
  <c r="Z8" i="1"/>
  <c r="AO8" i="1" s="1"/>
  <c r="Y8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AS6" i="1"/>
  <c r="AC6" i="1"/>
  <c r="AA6" i="1"/>
  <c r="Z6" i="1"/>
  <c r="Y6" i="1"/>
  <c r="AO6" i="1" s="1"/>
  <c r="AO7" i="1" l="1"/>
  <c r="AO12" i="1"/>
  <c r="AC7" i="1"/>
  <c r="AO13" i="1"/>
  <c r="AJ22" i="1"/>
  <c r="AI22" i="1"/>
  <c r="AJ39" i="1"/>
  <c r="AI39" i="1"/>
  <c r="AJ40" i="1"/>
  <c r="AI40" i="1"/>
  <c r="AJ46" i="1"/>
  <c r="AI46" i="1"/>
  <c r="AJ47" i="1"/>
  <c r="AI47" i="1"/>
  <c r="AJ48" i="1"/>
  <c r="AI48" i="1"/>
  <c r="AD12" i="1"/>
  <c r="AJ54" i="1"/>
  <c r="AI54" i="1"/>
  <c r="AO11" i="1"/>
  <c r="AI45" i="1"/>
  <c r="AJ45" i="1"/>
  <c r="Z7" i="1"/>
  <c r="AS7" i="1"/>
  <c r="AD6" i="1"/>
  <c r="AJ42" i="1"/>
  <c r="AI42" i="1"/>
  <c r="AJ43" i="1"/>
  <c r="AI43" i="1"/>
  <c r="AJ44" i="1"/>
  <c r="AI44" i="1"/>
  <c r="AJ50" i="1"/>
  <c r="AI50" i="1"/>
  <c r="AJ51" i="1"/>
  <c r="AI51" i="1"/>
  <c r="AJ52" i="1"/>
  <c r="AI52" i="1"/>
  <c r="AI53" i="1"/>
  <c r="AJ53" i="1"/>
  <c r="Y7" i="1"/>
  <c r="AJ6" i="1"/>
  <c r="AI6" i="1"/>
  <c r="AD8" i="1"/>
  <c r="AA7" i="1"/>
  <c r="AB7" i="1"/>
  <c r="AJ8" i="1"/>
  <c r="AI8" i="1"/>
  <c r="AD11" i="1"/>
  <c r="AI11" i="1" s="1"/>
  <c r="AJ12" i="1"/>
  <c r="AI12" i="1"/>
  <c r="AD13" i="1"/>
  <c r="AJ13" i="1" s="1"/>
  <c r="AI17" i="1"/>
  <c r="AJ17" i="1"/>
  <c r="AJ41" i="1"/>
  <c r="AI41" i="1"/>
  <c r="AI49" i="1"/>
  <c r="AJ49" i="1"/>
  <c r="AD7" i="1"/>
  <c r="C411" i="1"/>
  <c r="D411" i="1"/>
  <c r="K55" i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AA55" i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G55" i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L55" i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90" i="1" s="1"/>
  <c r="L91" i="1" s="1"/>
  <c r="L92" i="1" s="1"/>
  <c r="L93" i="1" s="1"/>
  <c r="L94" i="1" s="1"/>
  <c r="L95" i="1" s="1"/>
  <c r="L96" i="1" s="1"/>
  <c r="L97" i="1" s="1"/>
  <c r="L98" i="1" s="1"/>
  <c r="L99" i="1" s="1"/>
  <c r="L100" i="1" s="1"/>
  <c r="L101" i="1" s="1"/>
  <c r="L102" i="1" s="1"/>
  <c r="L103" i="1" s="1"/>
  <c r="L104" i="1" s="1"/>
  <c r="L105" i="1" s="1"/>
  <c r="L106" i="1" s="1"/>
  <c r="L107" i="1" s="1"/>
  <c r="L108" i="1" s="1"/>
  <c r="L109" i="1" s="1"/>
  <c r="L110" i="1" s="1"/>
  <c r="L111" i="1" s="1"/>
  <c r="L112" i="1" s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O55" i="1"/>
  <c r="O56" i="1" s="1"/>
  <c r="O57" i="1" s="1"/>
  <c r="O58" i="1" s="1"/>
  <c r="O59" i="1" s="1"/>
  <c r="O60" i="1" s="1"/>
  <c r="O61" i="1" s="1"/>
  <c r="O62" i="1" s="1"/>
  <c r="O63" i="1" s="1"/>
  <c r="O64" i="1" s="1"/>
  <c r="O65" i="1" s="1"/>
  <c r="O66" i="1" s="1"/>
  <c r="O67" i="1" s="1"/>
  <c r="O68" i="1" s="1"/>
  <c r="O69" i="1" s="1"/>
  <c r="O70" i="1" s="1"/>
  <c r="O71" i="1" s="1"/>
  <c r="O72" i="1" s="1"/>
  <c r="O73" i="1" s="1"/>
  <c r="O74" i="1" s="1"/>
  <c r="O75" i="1" s="1"/>
  <c r="O76" i="1" s="1"/>
  <c r="O77" i="1" s="1"/>
  <c r="O78" i="1" s="1"/>
  <c r="O79" i="1" s="1"/>
  <c r="O80" i="1" s="1"/>
  <c r="O81" i="1" s="1"/>
  <c r="O82" i="1" s="1"/>
  <c r="O83" i="1" s="1"/>
  <c r="O84" i="1" s="1"/>
  <c r="O85" i="1" s="1"/>
  <c r="O86" i="1" s="1"/>
  <c r="O87" i="1" s="1"/>
  <c r="O88" i="1" s="1"/>
  <c r="O89" i="1" s="1"/>
  <c r="O90" i="1" s="1"/>
  <c r="O91" i="1" s="1"/>
  <c r="O92" i="1" s="1"/>
  <c r="O93" i="1" s="1"/>
  <c r="O94" i="1" s="1"/>
  <c r="O95" i="1" s="1"/>
  <c r="O96" i="1" s="1"/>
  <c r="O97" i="1" s="1"/>
  <c r="O98" i="1" s="1"/>
  <c r="O99" i="1" s="1"/>
  <c r="O100" i="1" s="1"/>
  <c r="O101" i="1" s="1"/>
  <c r="O102" i="1" s="1"/>
  <c r="O103" i="1" s="1"/>
  <c r="O104" i="1" s="1"/>
  <c r="O105" i="1" s="1"/>
  <c r="O106" i="1" s="1"/>
  <c r="O107" i="1" s="1"/>
  <c r="O108" i="1" s="1"/>
  <c r="O109" i="1" s="1"/>
  <c r="O110" i="1" s="1"/>
  <c r="O111" i="1" s="1"/>
  <c r="O112" i="1" s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S55" i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T55" i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W55" i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AB55" i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H55" i="1"/>
  <c r="H56" i="1" s="1"/>
  <c r="H57" i="1" s="1"/>
  <c r="H58" i="1" s="1"/>
  <c r="H59" i="1" s="1"/>
  <c r="H60" i="1" s="1"/>
  <c r="H61" i="1" s="1"/>
  <c r="H62" i="1" s="1"/>
  <c r="H63" i="1" s="1"/>
  <c r="H64" i="1" s="1"/>
  <c r="H65" i="1" s="1"/>
  <c r="H66" i="1" s="1"/>
  <c r="H67" i="1" s="1"/>
  <c r="H68" i="1" s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H98" i="1" s="1"/>
  <c r="H99" i="1" s="1"/>
  <c r="H100" i="1" s="1"/>
  <c r="H101" i="1" s="1"/>
  <c r="H102" i="1" s="1"/>
  <c r="H103" i="1" s="1"/>
  <c r="H104" i="1" s="1"/>
  <c r="H105" i="1" s="1"/>
  <c r="H106" i="1" s="1"/>
  <c r="H107" i="1" s="1"/>
  <c r="H108" i="1" s="1"/>
  <c r="H109" i="1" s="1"/>
  <c r="H110" i="1" s="1"/>
  <c r="H111" i="1" s="1"/>
  <c r="H112" i="1" s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I55" i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I68" i="1" s="1"/>
  <c r="I69" i="1" s="1"/>
  <c r="I70" i="1" s="1"/>
  <c r="I71" i="1" s="1"/>
  <c r="I72" i="1" s="1"/>
  <c r="I73" i="1" s="1"/>
  <c r="I74" i="1" s="1"/>
  <c r="I75" i="1" s="1"/>
  <c r="I76" i="1" s="1"/>
  <c r="I77" i="1" s="1"/>
  <c r="I78" i="1" s="1"/>
  <c r="I79" i="1" s="1"/>
  <c r="I80" i="1" s="1"/>
  <c r="I81" i="1" s="1"/>
  <c r="I82" i="1" s="1"/>
  <c r="I83" i="1" s="1"/>
  <c r="I84" i="1" s="1"/>
  <c r="I85" i="1" s="1"/>
  <c r="I86" i="1" s="1"/>
  <c r="I87" i="1" s="1"/>
  <c r="I88" i="1" s="1"/>
  <c r="I89" i="1" s="1"/>
  <c r="I90" i="1" s="1"/>
  <c r="I91" i="1" s="1"/>
  <c r="I92" i="1" s="1"/>
  <c r="I93" i="1" s="1"/>
  <c r="I94" i="1" s="1"/>
  <c r="I95" i="1" s="1"/>
  <c r="I96" i="1" s="1"/>
  <c r="I97" i="1" s="1"/>
  <c r="I98" i="1" s="1"/>
  <c r="I99" i="1" s="1"/>
  <c r="I100" i="1" s="1"/>
  <c r="I101" i="1" s="1"/>
  <c r="I102" i="1" s="1"/>
  <c r="I103" i="1" s="1"/>
  <c r="I104" i="1" s="1"/>
  <c r="I105" i="1" s="1"/>
  <c r="I106" i="1" s="1"/>
  <c r="I107" i="1" s="1"/>
  <c r="I108" i="1" s="1"/>
  <c r="I109" i="1" s="1"/>
  <c r="I110" i="1" s="1"/>
  <c r="I111" i="1" s="1"/>
  <c r="I112" i="1" s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J55" i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M55" i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N55" i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P55" i="1"/>
  <c r="P56" i="1" s="1"/>
  <c r="P57" i="1" s="1"/>
  <c r="P58" i="1" s="1"/>
  <c r="P59" i="1" s="1"/>
  <c r="P60" i="1" s="1"/>
  <c r="P61" i="1" s="1"/>
  <c r="P62" i="1" s="1"/>
  <c r="P63" i="1" s="1"/>
  <c r="P64" i="1" s="1"/>
  <c r="P65" i="1" s="1"/>
  <c r="P66" i="1" s="1"/>
  <c r="P67" i="1" s="1"/>
  <c r="P68" i="1" s="1"/>
  <c r="P69" i="1" s="1"/>
  <c r="P70" i="1" s="1"/>
  <c r="P71" i="1" s="1"/>
  <c r="P72" i="1" s="1"/>
  <c r="P73" i="1" s="1"/>
  <c r="P74" i="1" s="1"/>
  <c r="P75" i="1" s="1"/>
  <c r="P76" i="1" s="1"/>
  <c r="P77" i="1" s="1"/>
  <c r="P78" i="1" s="1"/>
  <c r="P79" i="1" s="1"/>
  <c r="P80" i="1" s="1"/>
  <c r="P81" i="1" s="1"/>
  <c r="P82" i="1" s="1"/>
  <c r="P83" i="1" s="1"/>
  <c r="P84" i="1" s="1"/>
  <c r="P85" i="1" s="1"/>
  <c r="P86" i="1" s="1"/>
  <c r="P87" i="1" s="1"/>
  <c r="P88" i="1" s="1"/>
  <c r="P89" i="1" s="1"/>
  <c r="P90" i="1" s="1"/>
  <c r="P91" i="1" s="1"/>
  <c r="P92" i="1" s="1"/>
  <c r="P93" i="1" s="1"/>
  <c r="P94" i="1" s="1"/>
  <c r="P95" i="1" s="1"/>
  <c r="P96" i="1" s="1"/>
  <c r="P97" i="1" s="1"/>
  <c r="P98" i="1" s="1"/>
  <c r="P99" i="1" s="1"/>
  <c r="P100" i="1" s="1"/>
  <c r="P101" i="1" s="1"/>
  <c r="P102" i="1" s="1"/>
  <c r="P103" i="1" s="1"/>
  <c r="P104" i="1" s="1"/>
  <c r="P105" i="1" s="1"/>
  <c r="P106" i="1" s="1"/>
  <c r="P107" i="1" s="1"/>
  <c r="P108" i="1" s="1"/>
  <c r="P109" i="1" s="1"/>
  <c r="P110" i="1" s="1"/>
  <c r="P111" i="1" s="1"/>
  <c r="P112" i="1" s="1"/>
  <c r="P113" i="1" s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Q55" i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R55" i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U55" i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V55" i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X55" i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Z55" i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AC55" i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C409" i="1"/>
  <c r="D409" i="1"/>
  <c r="C410" i="1"/>
  <c r="D410" i="1"/>
  <c r="C213" i="1"/>
  <c r="C406" i="1"/>
  <c r="D406" i="1"/>
  <c r="C407" i="1"/>
  <c r="D407" i="1"/>
  <c r="C408" i="1"/>
  <c r="D408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237" i="1"/>
  <c r="D237" i="1"/>
  <c r="C238" i="1"/>
  <c r="D238" i="1"/>
  <c r="C240" i="1"/>
  <c r="D240" i="1"/>
  <c r="C242" i="1"/>
  <c r="D242" i="1"/>
  <c r="J246" i="1" s="1"/>
  <c r="C243" i="1"/>
  <c r="D243" i="1"/>
  <c r="C244" i="1"/>
  <c r="D244" i="1"/>
  <c r="C246" i="1"/>
  <c r="D246" i="1"/>
  <c r="B414" i="1" s="1"/>
  <c r="C247" i="1"/>
  <c r="D247" i="1"/>
  <c r="C248" i="1"/>
  <c r="D248" i="1"/>
  <c r="C249" i="1"/>
  <c r="D249" i="1"/>
  <c r="C250" i="1"/>
  <c r="D250" i="1"/>
  <c r="C251" i="1"/>
  <c r="D251" i="1"/>
  <c r="C252" i="1"/>
  <c r="D252" i="1"/>
  <c r="C253" i="1"/>
  <c r="D253" i="1"/>
  <c r="C254" i="1"/>
  <c r="D254" i="1"/>
  <c r="C255" i="1"/>
  <c r="D255" i="1"/>
  <c r="C256" i="1"/>
  <c r="D256" i="1"/>
  <c r="C257" i="1"/>
  <c r="D257" i="1"/>
  <c r="C258" i="1"/>
  <c r="D258" i="1"/>
  <c r="C259" i="1"/>
  <c r="D259" i="1"/>
  <c r="C260" i="1"/>
  <c r="D260" i="1"/>
  <c r="C261" i="1"/>
  <c r="D261" i="1"/>
  <c r="C262" i="1"/>
  <c r="D262" i="1"/>
  <c r="C263" i="1"/>
  <c r="D263" i="1"/>
  <c r="C264" i="1"/>
  <c r="D264" i="1"/>
  <c r="C265" i="1"/>
  <c r="D265" i="1"/>
  <c r="C266" i="1"/>
  <c r="D266" i="1"/>
  <c r="C267" i="1"/>
  <c r="D267" i="1"/>
  <c r="C268" i="1"/>
  <c r="D268" i="1"/>
  <c r="C269" i="1"/>
  <c r="D269" i="1"/>
  <c r="C270" i="1"/>
  <c r="D270" i="1"/>
  <c r="C271" i="1"/>
  <c r="D271" i="1"/>
  <c r="C272" i="1"/>
  <c r="D272" i="1"/>
  <c r="C273" i="1"/>
  <c r="D273" i="1"/>
  <c r="C274" i="1"/>
  <c r="D274" i="1"/>
  <c r="C275" i="1"/>
  <c r="D275" i="1"/>
  <c r="C276" i="1"/>
  <c r="D276" i="1"/>
  <c r="C277" i="1"/>
  <c r="D277" i="1"/>
  <c r="C278" i="1"/>
  <c r="D278" i="1"/>
  <c r="C279" i="1"/>
  <c r="D279" i="1"/>
  <c r="C280" i="1"/>
  <c r="D280" i="1"/>
  <c r="C281" i="1"/>
  <c r="D281" i="1"/>
  <c r="C282" i="1"/>
  <c r="D282" i="1"/>
  <c r="C283" i="1"/>
  <c r="D283" i="1"/>
  <c r="C284" i="1"/>
  <c r="D284" i="1"/>
  <c r="C285" i="1"/>
  <c r="D285" i="1"/>
  <c r="C286" i="1"/>
  <c r="D286" i="1"/>
  <c r="C287" i="1"/>
  <c r="D287" i="1"/>
  <c r="C288" i="1"/>
  <c r="D288" i="1"/>
  <c r="C289" i="1"/>
  <c r="D289" i="1"/>
  <c r="C290" i="1"/>
  <c r="D290" i="1"/>
  <c r="C291" i="1"/>
  <c r="D291" i="1"/>
  <c r="C292" i="1"/>
  <c r="D292" i="1"/>
  <c r="C293" i="1"/>
  <c r="D293" i="1"/>
  <c r="C294" i="1"/>
  <c r="D294" i="1"/>
  <c r="C295" i="1"/>
  <c r="D295" i="1"/>
  <c r="C296" i="1"/>
  <c r="D296" i="1"/>
  <c r="C297" i="1"/>
  <c r="D297" i="1"/>
  <c r="C298" i="1"/>
  <c r="D298" i="1"/>
  <c r="C299" i="1"/>
  <c r="D299" i="1"/>
  <c r="C300" i="1"/>
  <c r="D300" i="1"/>
  <c r="C301" i="1"/>
  <c r="D301" i="1"/>
  <c r="C302" i="1"/>
  <c r="D302" i="1"/>
  <c r="C303" i="1"/>
  <c r="D303" i="1"/>
  <c r="C304" i="1"/>
  <c r="D304" i="1"/>
  <c r="C305" i="1"/>
  <c r="D305" i="1"/>
  <c r="C306" i="1"/>
  <c r="D306" i="1"/>
  <c r="C307" i="1"/>
  <c r="D307" i="1"/>
  <c r="C308" i="1"/>
  <c r="D308" i="1"/>
  <c r="C309" i="1"/>
  <c r="D309" i="1"/>
  <c r="C310" i="1"/>
  <c r="D310" i="1"/>
  <c r="C311" i="1"/>
  <c r="D311" i="1"/>
  <c r="C312" i="1"/>
  <c r="D312" i="1"/>
  <c r="C313" i="1"/>
  <c r="D313" i="1"/>
  <c r="C314" i="1"/>
  <c r="D314" i="1"/>
  <c r="C315" i="1"/>
  <c r="D315" i="1"/>
  <c r="C316" i="1"/>
  <c r="D316" i="1"/>
  <c r="C317" i="1"/>
  <c r="D317" i="1"/>
  <c r="C318" i="1"/>
  <c r="D318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C214" i="1"/>
  <c r="D214" i="1"/>
  <c r="C215" i="1"/>
  <c r="D215" i="1"/>
  <c r="J212" i="1" s="1"/>
  <c r="C216" i="1"/>
  <c r="D216" i="1"/>
  <c r="C218" i="1"/>
  <c r="D218" i="1"/>
  <c r="C219" i="1"/>
  <c r="D219" i="1"/>
  <c r="C220" i="1"/>
  <c r="D220" i="1"/>
  <c r="Q212" i="1" s="1"/>
  <c r="C221" i="1"/>
  <c r="D221" i="1"/>
  <c r="C224" i="1"/>
  <c r="D224" i="1"/>
  <c r="C225" i="1"/>
  <c r="D225" i="1"/>
  <c r="C228" i="1"/>
  <c r="D228" i="1"/>
  <c r="C229" i="1"/>
  <c r="D229" i="1"/>
  <c r="C230" i="1"/>
  <c r="D230" i="1"/>
  <c r="C231" i="1"/>
  <c r="D231" i="1"/>
  <c r="C234" i="1"/>
  <c r="D234" i="1"/>
  <c r="C235" i="1"/>
  <c r="D235" i="1"/>
  <c r="C236" i="1"/>
  <c r="D236" i="1"/>
  <c r="AJ7" i="1" l="1"/>
  <c r="AI13" i="1"/>
  <c r="AI7" i="1"/>
  <c r="AJ11" i="1"/>
  <c r="I233" i="1"/>
  <c r="E411" i="1"/>
  <c r="F55" i="1"/>
  <c r="E214" i="1"/>
  <c r="E215" i="1"/>
  <c r="D213" i="1"/>
  <c r="E213" i="1"/>
  <c r="K214" i="1" l="1"/>
  <c r="K213" i="1"/>
  <c r="F56" i="1"/>
  <c r="E216" i="1"/>
  <c r="A1" i="6"/>
  <c r="F57" i="1" l="1"/>
  <c r="E218" i="1"/>
  <c r="F210" i="1"/>
  <c r="F414" i="1" s="1"/>
  <c r="S212" i="1" l="1"/>
  <c r="Q246" i="1"/>
  <c r="P246" i="1" s="1"/>
  <c r="L212" i="1"/>
  <c r="F220" i="1"/>
  <c r="O233" i="1"/>
  <c r="F58" i="1"/>
  <c r="F214" i="1"/>
  <c r="F218" i="1"/>
  <c r="F216" i="1"/>
  <c r="F215" i="1"/>
  <c r="F219" i="1"/>
  <c r="F221" i="1"/>
  <c r="E219" i="1"/>
  <c r="F213" i="1"/>
  <c r="L213" i="1" s="1"/>
  <c r="S213" i="1" l="1"/>
  <c r="S214" i="1"/>
  <c r="L214" i="1"/>
  <c r="F59" i="1"/>
  <c r="E220" i="1"/>
  <c r="R213" i="1" s="1"/>
  <c r="G210" i="1"/>
  <c r="I414" i="1" s="1"/>
  <c r="U233" i="1" l="1"/>
  <c r="T212" i="1"/>
  <c r="W246" i="1"/>
  <c r="V246" i="1" s="1"/>
  <c r="M212" i="1"/>
  <c r="R214" i="1"/>
  <c r="F60" i="1"/>
  <c r="G214" i="1"/>
  <c r="G215" i="1"/>
  <c r="G216" i="1"/>
  <c r="G218" i="1"/>
  <c r="G219" i="1"/>
  <c r="Y55" i="1"/>
  <c r="G220" i="1"/>
  <c r="E221" i="1"/>
  <c r="G213" i="1"/>
  <c r="B1" i="1"/>
  <c r="T214" i="1" l="1"/>
  <c r="M213" i="1"/>
  <c r="M214" i="1"/>
  <c r="T213" i="1"/>
  <c r="Y56" i="1"/>
  <c r="F61" i="1"/>
  <c r="G221" i="1"/>
  <c r="F224" i="1"/>
  <c r="F62" i="1" l="1"/>
  <c r="Y57" i="1"/>
  <c r="F225" i="1"/>
  <c r="Y58" i="1" l="1"/>
  <c r="F63" i="1"/>
  <c r="AD55" i="1"/>
  <c r="E224" i="1"/>
  <c r="F64" i="1" l="1"/>
  <c r="AD56" i="1"/>
  <c r="AI55" i="1"/>
  <c r="AJ55" i="1"/>
  <c r="Y59" i="1"/>
  <c r="G224" i="1"/>
  <c r="E225" i="1"/>
  <c r="AD57" i="1" l="1"/>
  <c r="AI56" i="1"/>
  <c r="AJ56" i="1"/>
  <c r="Y60" i="1"/>
  <c r="F65" i="1"/>
  <c r="G225" i="1"/>
  <c r="F228" i="1"/>
  <c r="Y61" i="1" l="1"/>
  <c r="F66" i="1"/>
  <c r="AD58" i="1"/>
  <c r="AI57" i="1"/>
  <c r="AJ57" i="1"/>
  <c r="F229" i="1"/>
  <c r="F67" i="1" l="1"/>
  <c r="AD59" i="1"/>
  <c r="AJ58" i="1"/>
  <c r="AI58" i="1"/>
  <c r="Y62" i="1"/>
  <c r="F230" i="1"/>
  <c r="E228" i="1"/>
  <c r="AD60" i="1" l="1"/>
  <c r="AI59" i="1"/>
  <c r="AJ59" i="1"/>
  <c r="Y63" i="1"/>
  <c r="F68" i="1"/>
  <c r="F231" i="1"/>
  <c r="G228" i="1"/>
  <c r="E229" i="1"/>
  <c r="Y64" i="1" l="1"/>
  <c r="F69" i="1"/>
  <c r="AD61" i="1"/>
  <c r="AI60" i="1"/>
  <c r="AJ60" i="1"/>
  <c r="G229" i="1"/>
  <c r="E230" i="1"/>
  <c r="F70" i="1" l="1"/>
  <c r="AD62" i="1"/>
  <c r="AI61" i="1"/>
  <c r="AJ61" i="1"/>
  <c r="Y65" i="1"/>
  <c r="G230" i="1"/>
  <c r="E231" i="1"/>
  <c r="AD63" i="1" l="1"/>
  <c r="AI62" i="1"/>
  <c r="AJ62" i="1"/>
  <c r="Y66" i="1"/>
  <c r="F71" i="1"/>
  <c r="G231" i="1"/>
  <c r="F234" i="1"/>
  <c r="P234" i="1" s="1"/>
  <c r="Y67" i="1" l="1"/>
  <c r="F72" i="1"/>
  <c r="AD64" i="1"/>
  <c r="AI63" i="1"/>
  <c r="AJ63" i="1"/>
  <c r="F235" i="1"/>
  <c r="P235" i="1" s="1"/>
  <c r="F73" i="1" l="1"/>
  <c r="AD65" i="1"/>
  <c r="AI64" i="1"/>
  <c r="AJ64" i="1"/>
  <c r="Y68" i="1"/>
  <c r="F236" i="1"/>
  <c r="P236" i="1" s="1"/>
  <c r="E234" i="1"/>
  <c r="J234" i="1" s="1"/>
  <c r="AD66" i="1" l="1"/>
  <c r="AI65" i="1"/>
  <c r="AJ65" i="1"/>
  <c r="Y69" i="1"/>
  <c r="F74" i="1"/>
  <c r="F237" i="1"/>
  <c r="P237" i="1" s="1"/>
  <c r="G234" i="1"/>
  <c r="V234" i="1" s="1"/>
  <c r="E235" i="1"/>
  <c r="J235" i="1" s="1"/>
  <c r="Y70" i="1" l="1"/>
  <c r="F75" i="1"/>
  <c r="AD67" i="1"/>
  <c r="AJ66" i="1"/>
  <c r="AI66" i="1"/>
  <c r="G235" i="1"/>
  <c r="V235" i="1" s="1"/>
  <c r="F238" i="1"/>
  <c r="P238" i="1" s="1"/>
  <c r="E236" i="1"/>
  <c r="J236" i="1" s="1"/>
  <c r="F76" i="1" l="1"/>
  <c r="AD68" i="1"/>
  <c r="AI67" i="1"/>
  <c r="AJ67" i="1"/>
  <c r="Y71" i="1"/>
  <c r="G236" i="1"/>
  <c r="V236" i="1" s="1"/>
  <c r="E237" i="1"/>
  <c r="J237" i="1" s="1"/>
  <c r="AD69" i="1" l="1"/>
  <c r="AI68" i="1"/>
  <c r="AJ68" i="1"/>
  <c r="Y72" i="1"/>
  <c r="F77" i="1"/>
  <c r="G237" i="1"/>
  <c r="V237" i="1" s="1"/>
  <c r="F240" i="1"/>
  <c r="E238" i="1"/>
  <c r="J238" i="1" s="1"/>
  <c r="Y73" i="1" l="1"/>
  <c r="F78" i="1"/>
  <c r="AD70" i="1"/>
  <c r="AI69" i="1"/>
  <c r="AJ69" i="1"/>
  <c r="G238" i="1"/>
  <c r="V238" i="1" s="1"/>
  <c r="F79" i="1" l="1"/>
  <c r="AD71" i="1"/>
  <c r="AI70" i="1"/>
  <c r="AJ70" i="1"/>
  <c r="Y74" i="1"/>
  <c r="F242" i="1"/>
  <c r="Q247" i="1" s="1"/>
  <c r="E240" i="1"/>
  <c r="AD72" i="1" l="1"/>
  <c r="AI71" i="1"/>
  <c r="AJ71" i="1"/>
  <c r="Y75" i="1"/>
  <c r="F80" i="1"/>
  <c r="F243" i="1"/>
  <c r="Q248" i="1" s="1"/>
  <c r="G240" i="1"/>
  <c r="Y76" i="1" l="1"/>
  <c r="F81" i="1"/>
  <c r="AD73" i="1"/>
  <c r="AJ72" i="1"/>
  <c r="AI72" i="1"/>
  <c r="F244" i="1"/>
  <c r="Q249" i="1" s="1"/>
  <c r="E242" i="1"/>
  <c r="K247" i="1" s="1"/>
  <c r="F82" i="1" l="1"/>
  <c r="AD74" i="1"/>
  <c r="AI73" i="1"/>
  <c r="AJ73" i="1"/>
  <c r="Y77" i="1"/>
  <c r="G242" i="1"/>
  <c r="W247" i="1" s="1"/>
  <c r="E243" i="1"/>
  <c r="K248" i="1" s="1"/>
  <c r="AD75" i="1" l="1"/>
  <c r="AI74" i="1"/>
  <c r="AJ74" i="1"/>
  <c r="Y78" i="1"/>
  <c r="F83" i="1"/>
  <c r="G243" i="1"/>
  <c r="W248" i="1" s="1"/>
  <c r="F246" i="1"/>
  <c r="F428" i="1" s="1"/>
  <c r="E244" i="1"/>
  <c r="K249" i="1" s="1"/>
  <c r="Y79" i="1" l="1"/>
  <c r="F84" i="1"/>
  <c r="AD76" i="1"/>
  <c r="AJ75" i="1"/>
  <c r="AI75" i="1"/>
  <c r="F247" i="1"/>
  <c r="F421" i="1" s="1"/>
  <c r="G244" i="1"/>
  <c r="W249" i="1" s="1"/>
  <c r="F85" i="1" l="1"/>
  <c r="AD77" i="1"/>
  <c r="AI76" i="1"/>
  <c r="AJ76" i="1"/>
  <c r="Y80" i="1"/>
  <c r="F248" i="1"/>
  <c r="F419" i="1" s="1"/>
  <c r="E246" i="1"/>
  <c r="C428" i="1" s="1"/>
  <c r="AD78" i="1" l="1"/>
  <c r="AI77" i="1"/>
  <c r="AJ77" i="1"/>
  <c r="Y81" i="1"/>
  <c r="F86" i="1"/>
  <c r="F249" i="1"/>
  <c r="F420" i="1" s="1"/>
  <c r="G246" i="1"/>
  <c r="I428" i="1" s="1"/>
  <c r="E247" i="1"/>
  <c r="C421" i="1" s="1"/>
  <c r="Y82" i="1" l="1"/>
  <c r="F87" i="1"/>
  <c r="AD79" i="1"/>
  <c r="AI78" i="1"/>
  <c r="AJ78" i="1"/>
  <c r="G247" i="1"/>
  <c r="I421" i="1" s="1"/>
  <c r="F250" i="1"/>
  <c r="F429" i="1" s="1"/>
  <c r="E248" i="1"/>
  <c r="C419" i="1" s="1"/>
  <c r="F88" i="1" l="1"/>
  <c r="AD80" i="1"/>
  <c r="AI79" i="1"/>
  <c r="AJ79" i="1"/>
  <c r="Y83" i="1"/>
  <c r="F251" i="1"/>
  <c r="F424" i="1" s="1"/>
  <c r="G248" i="1"/>
  <c r="I419" i="1" s="1"/>
  <c r="E249" i="1"/>
  <c r="C420" i="1" s="1"/>
  <c r="AD81" i="1" l="1"/>
  <c r="AI80" i="1"/>
  <c r="AJ80" i="1"/>
  <c r="Y84" i="1"/>
  <c r="F89" i="1"/>
  <c r="G249" i="1"/>
  <c r="I420" i="1" s="1"/>
  <c r="F252" i="1"/>
  <c r="F427" i="1" s="1"/>
  <c r="E250" i="1"/>
  <c r="C429" i="1" s="1"/>
  <c r="Y85" i="1" l="1"/>
  <c r="F90" i="1"/>
  <c r="AD82" i="1"/>
  <c r="AI81" i="1"/>
  <c r="AJ81" i="1"/>
  <c r="F253" i="1"/>
  <c r="F425" i="1" s="1"/>
  <c r="G250" i="1"/>
  <c r="I429" i="1" s="1"/>
  <c r="E251" i="1"/>
  <c r="C424" i="1" s="1"/>
  <c r="F91" i="1" l="1"/>
  <c r="AD83" i="1"/>
  <c r="AI82" i="1"/>
  <c r="AJ82" i="1"/>
  <c r="Y86" i="1"/>
  <c r="G251" i="1"/>
  <c r="I424" i="1" s="1"/>
  <c r="F254" i="1"/>
  <c r="F423" i="1" s="1"/>
  <c r="E252" i="1"/>
  <c r="C427" i="1" s="1"/>
  <c r="AD84" i="1" l="1"/>
  <c r="AI83" i="1"/>
  <c r="AJ83" i="1"/>
  <c r="Y87" i="1"/>
  <c r="F92" i="1"/>
  <c r="F255" i="1"/>
  <c r="F422" i="1" s="1"/>
  <c r="G252" i="1"/>
  <c r="I427" i="1" s="1"/>
  <c r="E253" i="1"/>
  <c r="C425" i="1" s="1"/>
  <c r="Y88" i="1" l="1"/>
  <c r="F93" i="1"/>
  <c r="AD85" i="1"/>
  <c r="AI84" i="1"/>
  <c r="AJ84" i="1"/>
  <c r="G253" i="1"/>
  <c r="I425" i="1" s="1"/>
  <c r="F256" i="1"/>
  <c r="F418" i="1" s="1"/>
  <c r="E254" i="1"/>
  <c r="C423" i="1" s="1"/>
  <c r="F94" i="1" l="1"/>
  <c r="AD86" i="1"/>
  <c r="AI85" i="1"/>
  <c r="AJ85" i="1"/>
  <c r="Y89" i="1"/>
  <c r="F257" i="1"/>
  <c r="F416" i="1" s="1"/>
  <c r="G254" i="1"/>
  <c r="I423" i="1" s="1"/>
  <c r="E255" i="1"/>
  <c r="C422" i="1" s="1"/>
  <c r="AD87" i="1" l="1"/>
  <c r="AI86" i="1"/>
  <c r="AJ86" i="1"/>
  <c r="Y90" i="1"/>
  <c r="F95" i="1"/>
  <c r="F258" i="1"/>
  <c r="F415" i="1" s="1"/>
  <c r="G255" i="1"/>
  <c r="I422" i="1" s="1"/>
  <c r="E256" i="1"/>
  <c r="C418" i="1" s="1"/>
  <c r="Y91" i="1" l="1"/>
  <c r="F96" i="1"/>
  <c r="AD88" i="1"/>
  <c r="AI87" i="1"/>
  <c r="AJ87" i="1"/>
  <c r="G256" i="1"/>
  <c r="I418" i="1" s="1"/>
  <c r="F259" i="1"/>
  <c r="F417" i="1" s="1"/>
  <c r="E257" i="1"/>
  <c r="C416" i="1" s="1"/>
  <c r="F97" i="1" l="1"/>
  <c r="AD89" i="1"/>
  <c r="AI88" i="1"/>
  <c r="AJ88" i="1"/>
  <c r="Y92" i="1"/>
  <c r="F260" i="1"/>
  <c r="F426" i="1" s="1"/>
  <c r="G257" i="1"/>
  <c r="I416" i="1" s="1"/>
  <c r="E258" i="1"/>
  <c r="C415" i="1" s="1"/>
  <c r="AD90" i="1" l="1"/>
  <c r="AI89" i="1"/>
  <c r="AJ89" i="1"/>
  <c r="Y93" i="1"/>
  <c r="F98" i="1"/>
  <c r="G258" i="1"/>
  <c r="I415" i="1" s="1"/>
  <c r="F261" i="1"/>
  <c r="F430" i="1" s="1"/>
  <c r="E259" i="1"/>
  <c r="C417" i="1" s="1"/>
  <c r="Y94" i="1" l="1"/>
  <c r="F99" i="1"/>
  <c r="AD91" i="1"/>
  <c r="AI90" i="1"/>
  <c r="AJ90" i="1"/>
  <c r="F262" i="1"/>
  <c r="G259" i="1"/>
  <c r="I417" i="1" s="1"/>
  <c r="E260" i="1"/>
  <c r="C426" i="1" s="1"/>
  <c r="F100" i="1" l="1"/>
  <c r="AD92" i="1"/>
  <c r="AI91" i="1"/>
  <c r="AJ91" i="1"/>
  <c r="Y95" i="1"/>
  <c r="G260" i="1"/>
  <c r="I426" i="1" s="1"/>
  <c r="F263" i="1"/>
  <c r="E261" i="1"/>
  <c r="C430" i="1" s="1"/>
  <c r="AD93" i="1" l="1"/>
  <c r="AI92" i="1"/>
  <c r="AJ92" i="1"/>
  <c r="Y96" i="1"/>
  <c r="F101" i="1"/>
  <c r="F264" i="1"/>
  <c r="G261" i="1"/>
  <c r="I430" i="1" s="1"/>
  <c r="E262" i="1"/>
  <c r="Y97" i="1" l="1"/>
  <c r="F102" i="1"/>
  <c r="AD94" i="1"/>
  <c r="AI93" i="1"/>
  <c r="AJ93" i="1"/>
  <c r="G262" i="1"/>
  <c r="F265" i="1"/>
  <c r="E263" i="1"/>
  <c r="F103" i="1" l="1"/>
  <c r="AD95" i="1"/>
  <c r="AI94" i="1"/>
  <c r="AJ94" i="1"/>
  <c r="Y98" i="1"/>
  <c r="F266" i="1"/>
  <c r="G263" i="1"/>
  <c r="E264" i="1"/>
  <c r="AD96" i="1" l="1"/>
  <c r="AI95" i="1"/>
  <c r="AJ95" i="1"/>
  <c r="Y99" i="1"/>
  <c r="F104" i="1"/>
  <c r="G264" i="1"/>
  <c r="F267" i="1"/>
  <c r="E265" i="1"/>
  <c r="Y100" i="1" l="1"/>
  <c r="F105" i="1"/>
  <c r="AD97" i="1"/>
  <c r="AI96" i="1"/>
  <c r="AJ96" i="1"/>
  <c r="F268" i="1"/>
  <c r="G265" i="1"/>
  <c r="E266" i="1"/>
  <c r="F106" i="1" l="1"/>
  <c r="AD98" i="1"/>
  <c r="AI97" i="1"/>
  <c r="AJ97" i="1"/>
  <c r="Y101" i="1"/>
  <c r="G266" i="1"/>
  <c r="F269" i="1"/>
  <c r="E267" i="1"/>
  <c r="AD99" i="1" l="1"/>
  <c r="AI98" i="1"/>
  <c r="AJ98" i="1"/>
  <c r="Y102" i="1"/>
  <c r="F107" i="1"/>
  <c r="F270" i="1"/>
  <c r="G267" i="1"/>
  <c r="E268" i="1"/>
  <c r="Y103" i="1" l="1"/>
  <c r="F108" i="1"/>
  <c r="AD100" i="1"/>
  <c r="AI99" i="1"/>
  <c r="AJ99" i="1"/>
  <c r="G268" i="1"/>
  <c r="F271" i="1"/>
  <c r="E269" i="1"/>
  <c r="F109" i="1" l="1"/>
  <c r="AD101" i="1"/>
  <c r="AI100" i="1"/>
  <c r="AJ100" i="1"/>
  <c r="Y104" i="1"/>
  <c r="G269" i="1"/>
  <c r="F272" i="1"/>
  <c r="E270" i="1"/>
  <c r="AD102" i="1" l="1"/>
  <c r="AI101" i="1"/>
  <c r="AJ101" i="1"/>
  <c r="Y105" i="1"/>
  <c r="F110" i="1"/>
  <c r="F273" i="1"/>
  <c r="G270" i="1"/>
  <c r="E271" i="1"/>
  <c r="Y106" i="1" l="1"/>
  <c r="F111" i="1"/>
  <c r="AD103" i="1"/>
  <c r="AI102" i="1"/>
  <c r="AJ102" i="1"/>
  <c r="G271" i="1"/>
  <c r="F274" i="1"/>
  <c r="E272" i="1"/>
  <c r="F112" i="1" l="1"/>
  <c r="AD104" i="1"/>
  <c r="AI103" i="1"/>
  <c r="AJ103" i="1"/>
  <c r="Y107" i="1"/>
  <c r="F275" i="1"/>
  <c r="G272" i="1"/>
  <c r="E273" i="1"/>
  <c r="AD105" i="1" l="1"/>
  <c r="AI104" i="1"/>
  <c r="AJ104" i="1"/>
  <c r="Y108" i="1"/>
  <c r="F113" i="1"/>
  <c r="G273" i="1"/>
  <c r="F276" i="1"/>
  <c r="E274" i="1"/>
  <c r="Y109" i="1" l="1"/>
  <c r="F114" i="1"/>
  <c r="AD106" i="1"/>
  <c r="AI105" i="1"/>
  <c r="AJ105" i="1"/>
  <c r="G274" i="1"/>
  <c r="F277" i="1"/>
  <c r="E275" i="1"/>
  <c r="F115" i="1" l="1"/>
  <c r="AD107" i="1"/>
  <c r="AI106" i="1"/>
  <c r="AJ106" i="1"/>
  <c r="Y110" i="1"/>
  <c r="F278" i="1"/>
  <c r="G275" i="1"/>
  <c r="E276" i="1"/>
  <c r="AD108" i="1" l="1"/>
  <c r="AI107" i="1"/>
  <c r="AJ107" i="1"/>
  <c r="Y111" i="1"/>
  <c r="F116" i="1"/>
  <c r="G276" i="1"/>
  <c r="F279" i="1"/>
  <c r="E277" i="1"/>
  <c r="Y112" i="1" l="1"/>
  <c r="F117" i="1"/>
  <c r="AD109" i="1"/>
  <c r="AI108" i="1"/>
  <c r="AJ108" i="1"/>
  <c r="F280" i="1"/>
  <c r="G277" i="1"/>
  <c r="E278" i="1"/>
  <c r="Y113" i="1" l="1"/>
  <c r="F118" i="1"/>
  <c r="AD110" i="1"/>
  <c r="AI109" i="1"/>
  <c r="AJ109" i="1"/>
  <c r="G278" i="1"/>
  <c r="F281" i="1"/>
  <c r="E279" i="1"/>
  <c r="F119" i="1" l="1"/>
  <c r="AD111" i="1"/>
  <c r="AI110" i="1"/>
  <c r="AJ110" i="1"/>
  <c r="Y114" i="1"/>
  <c r="F282" i="1"/>
  <c r="G279" i="1"/>
  <c r="E280" i="1"/>
  <c r="AD112" i="1" l="1"/>
  <c r="AI111" i="1"/>
  <c r="AJ111" i="1"/>
  <c r="Y115" i="1"/>
  <c r="F120" i="1"/>
  <c r="G280" i="1"/>
  <c r="F283" i="1"/>
  <c r="E281" i="1"/>
  <c r="Y116" i="1" l="1"/>
  <c r="F121" i="1"/>
  <c r="AD113" i="1"/>
  <c r="AJ112" i="1"/>
  <c r="AI112" i="1"/>
  <c r="F284" i="1"/>
  <c r="G281" i="1"/>
  <c r="E282" i="1"/>
  <c r="F122" i="1" l="1"/>
  <c r="AD114" i="1"/>
  <c r="AJ113" i="1"/>
  <c r="AI113" i="1"/>
  <c r="Y117" i="1"/>
  <c r="G282" i="1"/>
  <c r="F285" i="1"/>
  <c r="E283" i="1"/>
  <c r="AD115" i="1" l="1"/>
  <c r="AI114" i="1"/>
  <c r="AJ114" i="1"/>
  <c r="Y118" i="1"/>
  <c r="F123" i="1"/>
  <c r="F286" i="1"/>
  <c r="G283" i="1"/>
  <c r="E284" i="1"/>
  <c r="Y119" i="1" l="1"/>
  <c r="F124" i="1"/>
  <c r="AD116" i="1"/>
  <c r="AJ115" i="1"/>
  <c r="AI115" i="1"/>
  <c r="G284" i="1"/>
  <c r="F287" i="1"/>
  <c r="E285" i="1"/>
  <c r="F125" i="1" l="1"/>
  <c r="AD117" i="1"/>
  <c r="AI116" i="1"/>
  <c r="AJ116" i="1"/>
  <c r="Y120" i="1"/>
  <c r="F288" i="1"/>
  <c r="G285" i="1"/>
  <c r="E286" i="1"/>
  <c r="AD118" i="1" l="1"/>
  <c r="AI117" i="1"/>
  <c r="AJ117" i="1"/>
  <c r="Y121" i="1"/>
  <c r="F126" i="1"/>
  <c r="F289" i="1"/>
  <c r="G286" i="1"/>
  <c r="E287" i="1"/>
  <c r="Y122" i="1" l="1"/>
  <c r="F127" i="1"/>
  <c r="AD119" i="1"/>
  <c r="AI118" i="1"/>
  <c r="AJ118" i="1"/>
  <c r="G287" i="1"/>
  <c r="F290" i="1"/>
  <c r="E288" i="1"/>
  <c r="F128" i="1" l="1"/>
  <c r="AD120" i="1"/>
  <c r="AI119" i="1"/>
  <c r="AJ119" i="1"/>
  <c r="Y123" i="1"/>
  <c r="F291" i="1"/>
  <c r="G288" i="1"/>
  <c r="E289" i="1"/>
  <c r="AD121" i="1" l="1"/>
  <c r="AI120" i="1"/>
  <c r="AJ120" i="1"/>
  <c r="Y124" i="1"/>
  <c r="F129" i="1"/>
  <c r="G289" i="1"/>
  <c r="F292" i="1"/>
  <c r="E290" i="1"/>
  <c r="Y125" i="1" l="1"/>
  <c r="F130" i="1"/>
  <c r="AD122" i="1"/>
  <c r="AI121" i="1"/>
  <c r="AJ121" i="1"/>
  <c r="F293" i="1"/>
  <c r="G290" i="1"/>
  <c r="E291" i="1"/>
  <c r="F131" i="1" l="1"/>
  <c r="AD123" i="1"/>
  <c r="AI122" i="1"/>
  <c r="AJ122" i="1"/>
  <c r="Y126" i="1"/>
  <c r="G291" i="1"/>
  <c r="F294" i="1"/>
  <c r="E292" i="1"/>
  <c r="AD124" i="1" l="1"/>
  <c r="AI123" i="1"/>
  <c r="AJ123" i="1"/>
  <c r="Y127" i="1"/>
  <c r="F132" i="1"/>
  <c r="F295" i="1"/>
  <c r="G292" i="1"/>
  <c r="E293" i="1"/>
  <c r="Y128" i="1" l="1"/>
  <c r="F133" i="1"/>
  <c r="AD125" i="1"/>
  <c r="AI124" i="1"/>
  <c r="AJ124" i="1"/>
  <c r="G293" i="1"/>
  <c r="F296" i="1"/>
  <c r="E294" i="1"/>
  <c r="F134" i="1" l="1"/>
  <c r="AD126" i="1"/>
  <c r="AI125" i="1"/>
  <c r="AJ125" i="1"/>
  <c r="Y129" i="1"/>
  <c r="F297" i="1"/>
  <c r="G294" i="1"/>
  <c r="E295" i="1"/>
  <c r="AD127" i="1" l="1"/>
  <c r="AI126" i="1"/>
  <c r="AJ126" i="1"/>
  <c r="Y130" i="1"/>
  <c r="F135" i="1"/>
  <c r="G295" i="1"/>
  <c r="F298" i="1"/>
  <c r="E296" i="1"/>
  <c r="Y131" i="1" l="1"/>
  <c r="F136" i="1"/>
  <c r="AD128" i="1"/>
  <c r="AI127" i="1"/>
  <c r="AJ127" i="1"/>
  <c r="F299" i="1"/>
  <c r="G296" i="1"/>
  <c r="E297" i="1"/>
  <c r="F137" i="1" l="1"/>
  <c r="AD129" i="1"/>
  <c r="AI128" i="1"/>
  <c r="AJ128" i="1"/>
  <c r="Y132" i="1"/>
  <c r="G297" i="1"/>
  <c r="F300" i="1"/>
  <c r="E298" i="1"/>
  <c r="AD130" i="1" l="1"/>
  <c r="AI129" i="1"/>
  <c r="AJ129" i="1"/>
  <c r="Y133" i="1"/>
  <c r="F138" i="1"/>
  <c r="F301" i="1"/>
  <c r="G298" i="1"/>
  <c r="E299" i="1"/>
  <c r="Y134" i="1" l="1"/>
  <c r="F139" i="1"/>
  <c r="AD131" i="1"/>
  <c r="AI130" i="1"/>
  <c r="AJ130" i="1"/>
  <c r="G299" i="1"/>
  <c r="F302" i="1"/>
  <c r="E300" i="1"/>
  <c r="F140" i="1" l="1"/>
  <c r="AD132" i="1"/>
  <c r="AI131" i="1"/>
  <c r="AJ131" i="1"/>
  <c r="Y135" i="1"/>
  <c r="F303" i="1"/>
  <c r="G300" i="1"/>
  <c r="E301" i="1"/>
  <c r="AD133" i="1" l="1"/>
  <c r="AI132" i="1"/>
  <c r="AJ132" i="1"/>
  <c r="Y136" i="1"/>
  <c r="F141" i="1"/>
  <c r="G301" i="1"/>
  <c r="F304" i="1"/>
  <c r="E302" i="1"/>
  <c r="Y137" i="1" l="1"/>
  <c r="F142" i="1"/>
  <c r="AD134" i="1"/>
  <c r="AI133" i="1"/>
  <c r="AJ133" i="1"/>
  <c r="F305" i="1"/>
  <c r="G302" i="1"/>
  <c r="E303" i="1"/>
  <c r="F143" i="1" l="1"/>
  <c r="AD135" i="1"/>
  <c r="AI134" i="1"/>
  <c r="AJ134" i="1"/>
  <c r="Y138" i="1"/>
  <c r="G303" i="1"/>
  <c r="F306" i="1"/>
  <c r="E304" i="1"/>
  <c r="AD136" i="1" l="1"/>
  <c r="AI135" i="1"/>
  <c r="AJ135" i="1"/>
  <c r="Y139" i="1"/>
  <c r="F144" i="1"/>
  <c r="F307" i="1"/>
  <c r="G304" i="1"/>
  <c r="E305" i="1"/>
  <c r="Y140" i="1" l="1"/>
  <c r="F145" i="1"/>
  <c r="AD137" i="1"/>
  <c r="AI136" i="1"/>
  <c r="AJ136" i="1"/>
  <c r="G305" i="1"/>
  <c r="F308" i="1"/>
  <c r="E306" i="1"/>
  <c r="F146" i="1" l="1"/>
  <c r="AD138" i="1"/>
  <c r="AI137" i="1"/>
  <c r="AJ137" i="1"/>
  <c r="Y141" i="1"/>
  <c r="F309" i="1"/>
  <c r="G306" i="1"/>
  <c r="E307" i="1"/>
  <c r="AD139" i="1" l="1"/>
  <c r="AI138" i="1"/>
  <c r="AJ138" i="1"/>
  <c r="Y142" i="1"/>
  <c r="F147" i="1"/>
  <c r="G307" i="1"/>
  <c r="F310" i="1"/>
  <c r="E308" i="1"/>
  <c r="Y143" i="1" l="1"/>
  <c r="F148" i="1"/>
  <c r="AD140" i="1"/>
  <c r="AI139" i="1"/>
  <c r="AJ139" i="1"/>
  <c r="F311" i="1"/>
  <c r="G308" i="1"/>
  <c r="E309" i="1"/>
  <c r="F149" i="1" l="1"/>
  <c r="AD141" i="1"/>
  <c r="AI140" i="1"/>
  <c r="AJ140" i="1"/>
  <c r="Y144" i="1"/>
  <c r="G309" i="1"/>
  <c r="F312" i="1"/>
  <c r="E310" i="1"/>
  <c r="AD142" i="1" l="1"/>
  <c r="AI141" i="1"/>
  <c r="AJ141" i="1"/>
  <c r="Y145" i="1"/>
  <c r="F150" i="1"/>
  <c r="F313" i="1"/>
  <c r="G310" i="1"/>
  <c r="E311" i="1"/>
  <c r="Y146" i="1" l="1"/>
  <c r="F151" i="1"/>
  <c r="AD143" i="1"/>
  <c r="AI142" i="1"/>
  <c r="AJ142" i="1"/>
  <c r="G311" i="1"/>
  <c r="F314" i="1"/>
  <c r="E312" i="1"/>
  <c r="F152" i="1" l="1"/>
  <c r="AD144" i="1"/>
  <c r="AI143" i="1"/>
  <c r="AJ143" i="1"/>
  <c r="Y147" i="1"/>
  <c r="F315" i="1"/>
  <c r="G312" i="1"/>
  <c r="E313" i="1"/>
  <c r="AD145" i="1" l="1"/>
  <c r="AI144" i="1"/>
  <c r="AJ144" i="1"/>
  <c r="Y148" i="1"/>
  <c r="F153" i="1"/>
  <c r="G313" i="1"/>
  <c r="F316" i="1"/>
  <c r="E314" i="1"/>
  <c r="Y149" i="1" l="1"/>
  <c r="F154" i="1"/>
  <c r="AD146" i="1"/>
  <c r="AI145" i="1"/>
  <c r="AJ145" i="1"/>
  <c r="F317" i="1"/>
  <c r="G314" i="1"/>
  <c r="E315" i="1"/>
  <c r="F155" i="1" l="1"/>
  <c r="AD147" i="1"/>
  <c r="AI146" i="1"/>
  <c r="AJ146" i="1"/>
  <c r="Y150" i="1"/>
  <c r="G315" i="1"/>
  <c r="F318" i="1"/>
  <c r="E316" i="1"/>
  <c r="AD148" i="1" l="1"/>
  <c r="AI147" i="1"/>
  <c r="AJ147" i="1"/>
  <c r="Y151" i="1"/>
  <c r="F156" i="1"/>
  <c r="F319" i="1"/>
  <c r="G316" i="1"/>
  <c r="E317" i="1"/>
  <c r="Y152" i="1" l="1"/>
  <c r="F157" i="1"/>
  <c r="AD149" i="1"/>
  <c r="AI148" i="1"/>
  <c r="AJ148" i="1"/>
  <c r="G317" i="1"/>
  <c r="F320" i="1"/>
  <c r="E318" i="1"/>
  <c r="F158" i="1" l="1"/>
  <c r="AD150" i="1"/>
  <c r="AI149" i="1"/>
  <c r="AJ149" i="1"/>
  <c r="Y153" i="1"/>
  <c r="F321" i="1"/>
  <c r="G318" i="1"/>
  <c r="E319" i="1"/>
  <c r="AD151" i="1" l="1"/>
  <c r="AI150" i="1"/>
  <c r="AJ150" i="1"/>
  <c r="Y154" i="1"/>
  <c r="F159" i="1"/>
  <c r="G319" i="1"/>
  <c r="F322" i="1"/>
  <c r="E320" i="1"/>
  <c r="Y155" i="1" l="1"/>
  <c r="F160" i="1"/>
  <c r="AD152" i="1"/>
  <c r="AI151" i="1"/>
  <c r="AJ151" i="1"/>
  <c r="F323" i="1"/>
  <c r="G320" i="1"/>
  <c r="E321" i="1"/>
  <c r="F161" i="1" l="1"/>
  <c r="AD153" i="1"/>
  <c r="AI152" i="1"/>
  <c r="AJ152" i="1"/>
  <c r="Y156" i="1"/>
  <c r="G321" i="1"/>
  <c r="F324" i="1"/>
  <c r="E322" i="1"/>
  <c r="AD154" i="1" l="1"/>
  <c r="AI153" i="1"/>
  <c r="AJ153" i="1"/>
  <c r="Y157" i="1"/>
  <c r="F162" i="1"/>
  <c r="F325" i="1"/>
  <c r="G322" i="1"/>
  <c r="E323" i="1"/>
  <c r="Y158" i="1" l="1"/>
  <c r="F163" i="1"/>
  <c r="AD155" i="1"/>
  <c r="AI154" i="1"/>
  <c r="AJ154" i="1"/>
  <c r="G323" i="1"/>
  <c r="F326" i="1"/>
  <c r="E324" i="1"/>
  <c r="F164" i="1" l="1"/>
  <c r="AD156" i="1"/>
  <c r="AI155" i="1"/>
  <c r="AJ155" i="1"/>
  <c r="Y159" i="1"/>
  <c r="F327" i="1"/>
  <c r="G324" i="1"/>
  <c r="E325" i="1"/>
  <c r="AD157" i="1" l="1"/>
  <c r="AI156" i="1"/>
  <c r="AJ156" i="1"/>
  <c r="Y160" i="1"/>
  <c r="F165" i="1"/>
  <c r="G325" i="1"/>
  <c r="F328" i="1"/>
  <c r="E326" i="1"/>
  <c r="Y161" i="1" l="1"/>
  <c r="F166" i="1"/>
  <c r="AD158" i="1"/>
  <c r="AI157" i="1"/>
  <c r="AJ157" i="1"/>
  <c r="F329" i="1"/>
  <c r="G326" i="1"/>
  <c r="E327" i="1"/>
  <c r="F167" i="1" l="1"/>
  <c r="AD159" i="1"/>
  <c r="AI158" i="1"/>
  <c r="AJ158" i="1"/>
  <c r="Y162" i="1"/>
  <c r="G327" i="1"/>
  <c r="F330" i="1"/>
  <c r="E328" i="1"/>
  <c r="AD160" i="1" l="1"/>
  <c r="AI159" i="1"/>
  <c r="AJ159" i="1"/>
  <c r="Y163" i="1"/>
  <c r="F168" i="1"/>
  <c r="F331" i="1"/>
  <c r="G328" i="1"/>
  <c r="E329" i="1"/>
  <c r="Y164" i="1" l="1"/>
  <c r="F169" i="1"/>
  <c r="AD161" i="1"/>
  <c r="AI160" i="1"/>
  <c r="AJ160" i="1"/>
  <c r="G329" i="1"/>
  <c r="F332" i="1"/>
  <c r="E330" i="1"/>
  <c r="F170" i="1" l="1"/>
  <c r="AD162" i="1"/>
  <c r="AI161" i="1"/>
  <c r="AJ161" i="1"/>
  <c r="Y165" i="1"/>
  <c r="F333" i="1"/>
  <c r="G330" i="1"/>
  <c r="E331" i="1"/>
  <c r="AD163" i="1" l="1"/>
  <c r="AI162" i="1"/>
  <c r="AJ162" i="1"/>
  <c r="Y166" i="1"/>
  <c r="F171" i="1"/>
  <c r="G331" i="1"/>
  <c r="F334" i="1"/>
  <c r="E332" i="1"/>
  <c r="Y167" i="1" l="1"/>
  <c r="F172" i="1"/>
  <c r="AD164" i="1"/>
  <c r="AI163" i="1"/>
  <c r="AJ163" i="1"/>
  <c r="G332" i="1"/>
  <c r="F335" i="1"/>
  <c r="E333" i="1"/>
  <c r="F173" i="1" l="1"/>
  <c r="AD165" i="1"/>
  <c r="AI164" i="1"/>
  <c r="AJ164" i="1"/>
  <c r="Y168" i="1"/>
  <c r="F336" i="1"/>
  <c r="G333" i="1"/>
  <c r="E334" i="1"/>
  <c r="AD166" i="1" l="1"/>
  <c r="AI165" i="1"/>
  <c r="AJ165" i="1"/>
  <c r="Y169" i="1"/>
  <c r="F174" i="1"/>
  <c r="G334" i="1"/>
  <c r="F337" i="1"/>
  <c r="E335" i="1"/>
  <c r="Y170" i="1" l="1"/>
  <c r="F175" i="1"/>
  <c r="AD167" i="1"/>
  <c r="AI166" i="1"/>
  <c r="AJ166" i="1"/>
  <c r="F338" i="1"/>
  <c r="G335" i="1"/>
  <c r="E336" i="1"/>
  <c r="F176" i="1" l="1"/>
  <c r="AD168" i="1"/>
  <c r="AI167" i="1"/>
  <c r="AJ167" i="1"/>
  <c r="Y171" i="1"/>
  <c r="G336" i="1"/>
  <c r="F339" i="1"/>
  <c r="E337" i="1"/>
  <c r="AD169" i="1" l="1"/>
  <c r="AI168" i="1"/>
  <c r="AJ168" i="1"/>
  <c r="Y172" i="1"/>
  <c r="F177" i="1"/>
  <c r="F340" i="1"/>
  <c r="G337" i="1"/>
  <c r="E338" i="1"/>
  <c r="Y173" i="1" l="1"/>
  <c r="F178" i="1"/>
  <c r="AD170" i="1"/>
  <c r="AI169" i="1"/>
  <c r="AJ169" i="1"/>
  <c r="G338" i="1"/>
  <c r="F341" i="1"/>
  <c r="E339" i="1"/>
  <c r="F179" i="1" l="1"/>
  <c r="AD171" i="1"/>
  <c r="AI170" i="1"/>
  <c r="AJ170" i="1"/>
  <c r="Y174" i="1"/>
  <c r="F342" i="1"/>
  <c r="G339" i="1"/>
  <c r="E340" i="1"/>
  <c r="AD172" i="1" l="1"/>
  <c r="AI171" i="1"/>
  <c r="AJ171" i="1"/>
  <c r="Y175" i="1"/>
  <c r="F180" i="1"/>
  <c r="G340" i="1"/>
  <c r="F343" i="1"/>
  <c r="E341" i="1"/>
  <c r="Y176" i="1" l="1"/>
  <c r="F181" i="1"/>
  <c r="AD173" i="1"/>
  <c r="AI172" i="1"/>
  <c r="AJ172" i="1"/>
  <c r="F344" i="1"/>
  <c r="G341" i="1"/>
  <c r="E342" i="1"/>
  <c r="F182" i="1" l="1"/>
  <c r="AD174" i="1"/>
  <c r="AI173" i="1"/>
  <c r="AJ173" i="1"/>
  <c r="Y177" i="1"/>
  <c r="G342" i="1"/>
  <c r="F345" i="1"/>
  <c r="E343" i="1"/>
  <c r="AD175" i="1" l="1"/>
  <c r="AI174" i="1"/>
  <c r="AJ174" i="1"/>
  <c r="Y178" i="1"/>
  <c r="F183" i="1"/>
  <c r="F346" i="1"/>
  <c r="G343" i="1"/>
  <c r="E344" i="1"/>
  <c r="Y179" i="1" l="1"/>
  <c r="F184" i="1"/>
  <c r="AD176" i="1"/>
  <c r="AI175" i="1"/>
  <c r="AJ175" i="1"/>
  <c r="G344" i="1"/>
  <c r="F347" i="1"/>
  <c r="E345" i="1"/>
  <c r="F185" i="1" l="1"/>
  <c r="AD177" i="1"/>
  <c r="AI176" i="1"/>
  <c r="AJ176" i="1"/>
  <c r="Y180" i="1"/>
  <c r="F348" i="1"/>
  <c r="G345" i="1"/>
  <c r="E346" i="1"/>
  <c r="AD178" i="1" l="1"/>
  <c r="AI177" i="1"/>
  <c r="AJ177" i="1"/>
  <c r="Y181" i="1"/>
  <c r="F186" i="1"/>
  <c r="G346" i="1"/>
  <c r="F349" i="1"/>
  <c r="E347" i="1"/>
  <c r="Y182" i="1" l="1"/>
  <c r="F187" i="1"/>
  <c r="AD179" i="1"/>
  <c r="AI178" i="1"/>
  <c r="AJ178" i="1"/>
  <c r="F350" i="1"/>
  <c r="G347" i="1"/>
  <c r="E348" i="1"/>
  <c r="F188" i="1" l="1"/>
  <c r="AD180" i="1"/>
  <c r="AI179" i="1"/>
  <c r="AJ179" i="1"/>
  <c r="Y183" i="1"/>
  <c r="G348" i="1"/>
  <c r="F351" i="1"/>
  <c r="E349" i="1"/>
  <c r="AD181" i="1" l="1"/>
  <c r="AI180" i="1"/>
  <c r="AJ180" i="1"/>
  <c r="Y184" i="1"/>
  <c r="F189" i="1"/>
  <c r="F352" i="1"/>
  <c r="G349" i="1"/>
  <c r="E350" i="1"/>
  <c r="Y185" i="1" l="1"/>
  <c r="F190" i="1"/>
  <c r="AD182" i="1"/>
  <c r="AI181" i="1"/>
  <c r="AJ181" i="1"/>
  <c r="G350" i="1"/>
  <c r="F353" i="1"/>
  <c r="E351" i="1"/>
  <c r="F191" i="1" l="1"/>
  <c r="AD183" i="1"/>
  <c r="AI182" i="1"/>
  <c r="AJ182" i="1"/>
  <c r="Y186" i="1"/>
  <c r="F354" i="1"/>
  <c r="G351" i="1"/>
  <c r="E352" i="1"/>
  <c r="AD184" i="1" l="1"/>
  <c r="AI183" i="1"/>
  <c r="AJ183" i="1"/>
  <c r="Y187" i="1"/>
  <c r="F192" i="1"/>
  <c r="G352" i="1"/>
  <c r="F355" i="1"/>
  <c r="E353" i="1"/>
  <c r="Y188" i="1" l="1"/>
  <c r="F193" i="1"/>
  <c r="AD185" i="1"/>
  <c r="AI184" i="1"/>
  <c r="AJ184" i="1"/>
  <c r="F356" i="1"/>
  <c r="G353" i="1"/>
  <c r="E354" i="1"/>
  <c r="F194" i="1" l="1"/>
  <c r="AD186" i="1"/>
  <c r="AI185" i="1"/>
  <c r="AJ185" i="1"/>
  <c r="Y189" i="1"/>
  <c r="G354" i="1"/>
  <c r="F357" i="1"/>
  <c r="E355" i="1"/>
  <c r="AD187" i="1" l="1"/>
  <c r="AI186" i="1"/>
  <c r="AJ186" i="1"/>
  <c r="Y190" i="1"/>
  <c r="F195" i="1"/>
  <c r="F358" i="1"/>
  <c r="G355" i="1"/>
  <c r="E356" i="1"/>
  <c r="Y191" i="1" l="1"/>
  <c r="F196" i="1"/>
  <c r="AD188" i="1"/>
  <c r="AI187" i="1"/>
  <c r="AJ187" i="1"/>
  <c r="G356" i="1"/>
  <c r="F359" i="1"/>
  <c r="E357" i="1"/>
  <c r="F197" i="1" l="1"/>
  <c r="AD189" i="1"/>
  <c r="AI188" i="1"/>
  <c r="AJ188" i="1"/>
  <c r="Y192" i="1"/>
  <c r="F360" i="1"/>
  <c r="G357" i="1"/>
  <c r="E358" i="1"/>
  <c r="AD190" i="1" l="1"/>
  <c r="AI189" i="1"/>
  <c r="AJ189" i="1"/>
  <c r="Y193" i="1"/>
  <c r="F198" i="1"/>
  <c r="G358" i="1"/>
  <c r="F361" i="1"/>
  <c r="E359" i="1"/>
  <c r="Y194" i="1" l="1"/>
  <c r="F199" i="1"/>
  <c r="AD191" i="1"/>
  <c r="AI190" i="1"/>
  <c r="AJ190" i="1"/>
  <c r="F362" i="1"/>
  <c r="G359" i="1"/>
  <c r="E360" i="1"/>
  <c r="F200" i="1" l="1"/>
  <c r="AD192" i="1"/>
  <c r="AI191" i="1"/>
  <c r="AJ191" i="1"/>
  <c r="Y195" i="1"/>
  <c r="G360" i="1"/>
  <c r="F363" i="1"/>
  <c r="E361" i="1"/>
  <c r="AD193" i="1" l="1"/>
  <c r="AI192" i="1"/>
  <c r="AJ192" i="1"/>
  <c r="Y196" i="1"/>
  <c r="F201" i="1"/>
  <c r="F364" i="1"/>
  <c r="G361" i="1"/>
  <c r="E362" i="1"/>
  <c r="Y197" i="1" l="1"/>
  <c r="F202" i="1"/>
  <c r="AD194" i="1"/>
  <c r="AI193" i="1"/>
  <c r="AJ193" i="1"/>
  <c r="G362" i="1"/>
  <c r="F365" i="1"/>
  <c r="E363" i="1"/>
  <c r="F203" i="1" l="1"/>
  <c r="AD195" i="1"/>
  <c r="AI194" i="1"/>
  <c r="AJ194" i="1"/>
  <c r="Y198" i="1"/>
  <c r="F366" i="1"/>
  <c r="G363" i="1"/>
  <c r="E364" i="1"/>
  <c r="AD196" i="1" l="1"/>
  <c r="AI195" i="1"/>
  <c r="AJ195" i="1"/>
  <c r="Y199" i="1"/>
  <c r="F204" i="1"/>
  <c r="G364" i="1"/>
  <c r="F367" i="1"/>
  <c r="E365" i="1"/>
  <c r="Y200" i="1" l="1"/>
  <c r="AD197" i="1"/>
  <c r="AI196" i="1"/>
  <c r="AJ196" i="1"/>
  <c r="F368" i="1"/>
  <c r="G365" i="1"/>
  <c r="E366" i="1"/>
  <c r="AD198" i="1" l="1"/>
  <c r="AI197" i="1"/>
  <c r="AJ197" i="1"/>
  <c r="Y201" i="1"/>
  <c r="G366" i="1"/>
  <c r="F369" i="1"/>
  <c r="E367" i="1"/>
  <c r="Y202" i="1" l="1"/>
  <c r="AD199" i="1"/>
  <c r="AI198" i="1"/>
  <c r="AJ198" i="1"/>
  <c r="F370" i="1"/>
  <c r="G367" i="1"/>
  <c r="E368" i="1"/>
  <c r="AD200" i="1" l="1"/>
  <c r="AI199" i="1"/>
  <c r="AJ199" i="1"/>
  <c r="Y203" i="1"/>
  <c r="G368" i="1"/>
  <c r="F371" i="1"/>
  <c r="E369" i="1"/>
  <c r="Y204" i="1" l="1"/>
  <c r="AD201" i="1"/>
  <c r="AJ200" i="1"/>
  <c r="AI200" i="1"/>
  <c r="F372" i="1"/>
  <c r="G369" i="1"/>
  <c r="E370" i="1"/>
  <c r="AD202" i="1" l="1"/>
  <c r="AI201" i="1"/>
  <c r="AJ201" i="1"/>
  <c r="F411" i="1"/>
  <c r="G370" i="1"/>
  <c r="F373" i="1"/>
  <c r="E371" i="1"/>
  <c r="AD203" i="1" l="1"/>
  <c r="AI202" i="1"/>
  <c r="AJ202" i="1"/>
  <c r="F374" i="1"/>
  <c r="G371" i="1"/>
  <c r="E372" i="1"/>
  <c r="AD204" i="1" l="1"/>
  <c r="AJ203" i="1"/>
  <c r="AI203" i="1"/>
  <c r="G372" i="1"/>
  <c r="F375" i="1"/>
  <c r="E373" i="1"/>
  <c r="G411" i="1" l="1"/>
  <c r="AJ204" i="1"/>
  <c r="AI204" i="1"/>
  <c r="F376" i="1"/>
  <c r="G373" i="1"/>
  <c r="E374" i="1"/>
  <c r="G374" i="1" l="1"/>
  <c r="F377" i="1"/>
  <c r="E375" i="1"/>
  <c r="F378" i="1" l="1"/>
  <c r="G375" i="1"/>
  <c r="E376" i="1"/>
  <c r="G376" i="1" l="1"/>
  <c r="F379" i="1"/>
  <c r="E377" i="1"/>
  <c r="F380" i="1" l="1"/>
  <c r="G377" i="1"/>
  <c r="E378" i="1"/>
  <c r="G378" i="1" l="1"/>
  <c r="F381" i="1"/>
  <c r="E379" i="1"/>
  <c r="F382" i="1" l="1"/>
  <c r="G379" i="1"/>
  <c r="E380" i="1"/>
  <c r="G380" i="1" l="1"/>
  <c r="F383" i="1"/>
  <c r="E381" i="1"/>
  <c r="F384" i="1" l="1"/>
  <c r="G381" i="1"/>
  <c r="E382" i="1"/>
  <c r="G382" i="1" l="1"/>
  <c r="F385" i="1"/>
  <c r="E383" i="1"/>
  <c r="F386" i="1" l="1"/>
  <c r="G383" i="1"/>
  <c r="E384" i="1"/>
  <c r="G384" i="1" l="1"/>
  <c r="F387" i="1"/>
  <c r="E385" i="1"/>
  <c r="F388" i="1" l="1"/>
  <c r="G385" i="1"/>
  <c r="E386" i="1"/>
  <c r="G386" i="1" l="1"/>
  <c r="F389" i="1"/>
  <c r="E387" i="1"/>
  <c r="F390" i="1" l="1"/>
  <c r="G387" i="1"/>
  <c r="E388" i="1"/>
  <c r="G388" i="1" l="1"/>
  <c r="F391" i="1"/>
  <c r="E389" i="1"/>
  <c r="F392" i="1" l="1"/>
  <c r="G389" i="1"/>
  <c r="E390" i="1"/>
  <c r="G390" i="1" l="1"/>
  <c r="F393" i="1"/>
  <c r="E391" i="1"/>
  <c r="F394" i="1" l="1"/>
  <c r="G391" i="1"/>
  <c r="E392" i="1"/>
  <c r="G392" i="1" l="1"/>
  <c r="F395" i="1"/>
  <c r="E393" i="1"/>
  <c r="F396" i="1" l="1"/>
  <c r="G393" i="1"/>
  <c r="E394" i="1"/>
  <c r="G394" i="1" l="1"/>
  <c r="F397" i="1"/>
  <c r="E395" i="1"/>
  <c r="F398" i="1" l="1"/>
  <c r="G395" i="1"/>
  <c r="E396" i="1"/>
  <c r="G396" i="1" l="1"/>
  <c r="F399" i="1"/>
  <c r="E397" i="1"/>
  <c r="G397" i="1" l="1"/>
  <c r="F400" i="1"/>
  <c r="E398" i="1"/>
  <c r="G398" i="1" l="1"/>
  <c r="F401" i="1"/>
  <c r="E399" i="1"/>
  <c r="F402" i="1" l="1"/>
  <c r="G399" i="1"/>
  <c r="E400" i="1"/>
  <c r="G400" i="1" l="1"/>
  <c r="F403" i="1"/>
  <c r="E401" i="1"/>
  <c r="F404" i="1" l="1"/>
  <c r="G401" i="1"/>
  <c r="E402" i="1"/>
  <c r="G402" i="1" l="1"/>
  <c r="F405" i="1"/>
  <c r="E403" i="1"/>
  <c r="F406" i="1" l="1"/>
  <c r="G403" i="1"/>
  <c r="E404" i="1"/>
  <c r="G404" i="1" l="1"/>
  <c r="F407" i="1"/>
  <c r="E405" i="1"/>
  <c r="F408" i="1" l="1"/>
  <c r="G405" i="1"/>
  <c r="E406" i="1"/>
  <c r="G406" i="1" l="1"/>
  <c r="F410" i="1"/>
  <c r="F409" i="1"/>
  <c r="E407" i="1"/>
  <c r="G407" i="1" l="1"/>
  <c r="E408" i="1"/>
  <c r="G408" i="1" l="1"/>
  <c r="E410" i="1"/>
  <c r="E409" i="1"/>
  <c r="G410" i="1" l="1"/>
  <c r="G409" i="1"/>
</calcChain>
</file>

<file path=xl/sharedStrings.xml><?xml version="1.0" encoding="utf-8"?>
<sst xmlns="http://schemas.openxmlformats.org/spreadsheetml/2006/main" count="412" uniqueCount="156">
  <si>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</si>
  <si>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</si>
  <si>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</si>
  <si>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</si>
  <si>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</si>
  <si>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</si>
  <si>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</si>
  <si>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</si>
  <si>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</si>
  <si>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</si>
  <si>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</si>
  <si>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</si>
  <si>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</si>
  <si>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</si>
  <si>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</si>
  <si>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</si>
  <si>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</si>
  <si>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</si>
  <si>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</si>
  <si>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</si>
  <si>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</si>
  <si>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</si>
  <si>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</si>
  <si>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</si>
  <si>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</si>
  <si>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</si>
  <si>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</si>
  <si>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</si>
  <si>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</si>
  <si>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</si>
  <si>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</si>
  <si>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</si>
  <si>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</si>
  <si>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</si>
  <si>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</si>
  <si>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</si>
  <si>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</si>
  <si>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Analisi di genere per livello d’istruzione</t>
  </si>
  <si>
    <t>N. donne diplomate</t>
  </si>
  <si>
    <t>valore ass.</t>
  </si>
  <si>
    <t>N. uomini diplomati</t>
  </si>
  <si>
    <t>N. totale diplomati</t>
  </si>
  <si>
    <t>Incidenza delle donne sul totale dei diplomati</t>
  </si>
  <si>
    <t>valore %</t>
  </si>
  <si>
    <t>N. donne laureate</t>
  </si>
  <si>
    <t>N. uomini laureati</t>
  </si>
  <si>
    <t>N. totale laureati</t>
  </si>
  <si>
    <t>Incidenza delle donne sul totale dei laureati</t>
  </si>
  <si>
    <t>Analisi di genere sugli iscritti alle scuole secondarie superiori</t>
  </si>
  <si>
    <t xml:space="preserve">Quota di donne iscritte alla scuola secondaria superiore </t>
  </si>
  <si>
    <t>Tasso di scolarità per le scuole secondarie di secondo grado (*)(**)(***)</t>
  </si>
  <si>
    <t>A.A. 2010/2011</t>
  </si>
  <si>
    <t>Analisi di genere per iscritti all’università per facoltà</t>
  </si>
  <si>
    <t>Tasso di iscrizione all'università (*)(**)(***)</t>
  </si>
  <si>
    <t>Tasso di passaggio dalla  scuola secondaria di secondo grado delle donne (*)(**)(***)</t>
  </si>
  <si>
    <t>Tasso di conseguimento dei titoli universitari - Laurea triennale e a ciclo unico (*)(**)(***)</t>
  </si>
  <si>
    <t>Tasso di conseguimento dei titoli universitari - Laurea di durata 4-6 anni e specialistica biennale (*)(**)(***)</t>
  </si>
  <si>
    <t>Distribuzione delle donne per tipologia di istruzione</t>
  </si>
  <si>
    <t xml:space="preserve">Quota di donne residenti che hanno conseguito la licenza elementare o nessun titolo </t>
  </si>
  <si>
    <t xml:space="preserve">Quota di donne residenti che hanno conseguito la licenza media </t>
  </si>
  <si>
    <t xml:space="preserve">Quote di donne residenti che hanno conseguito un diploma di scuola secondaria superiore </t>
  </si>
  <si>
    <t xml:space="preserve">Quota di donne residenti che hanno conseguito una qualifica professionale </t>
  </si>
  <si>
    <t>Quota di donne residenti che hanno conseguito un dottorato, laurea e diploma universitario</t>
  </si>
  <si>
    <t>Quota di donne che partecipano all'apprendimento permanente (*)</t>
  </si>
  <si>
    <t>Quota di donne diplomate al liceo</t>
  </si>
  <si>
    <t>Quota di donne diplomate presso istituti tecnici</t>
  </si>
  <si>
    <t>Quota di donne diplomate presso istituti professionali</t>
  </si>
  <si>
    <r>
      <t>Quota di donne laureate in materie</t>
    </r>
    <r>
      <rPr>
        <i/>
        <sz val="10"/>
        <rFont val="Calibri"/>
        <family val="2"/>
      </rPr>
      <t xml:space="preserve"> </t>
    </r>
    <r>
      <rPr>
        <sz val="10"/>
        <rFont val="Calibri"/>
        <family val="2"/>
      </rPr>
      <t>del</t>
    </r>
    <r>
      <rPr>
        <i/>
        <sz val="10"/>
        <rFont val="Calibri"/>
        <family val="2"/>
      </rPr>
      <t xml:space="preserve"> </t>
    </r>
    <r>
      <rPr>
        <sz val="10"/>
        <rFont val="Calibri"/>
        <family val="2"/>
      </rPr>
      <t>gruppo</t>
    </r>
    <r>
      <rPr>
        <i/>
        <sz val="10"/>
        <rFont val="Calibri"/>
        <family val="2"/>
      </rPr>
      <t xml:space="preserve"> scientifico</t>
    </r>
  </si>
  <si>
    <r>
      <t>Quota didonne laureate in materie del gruppo</t>
    </r>
    <r>
      <rPr>
        <i/>
        <sz val="10"/>
        <rFont val="Calibri"/>
        <family val="2"/>
      </rPr>
      <t xml:space="preserve"> chimico-farmaceutico</t>
    </r>
  </si>
  <si>
    <r>
      <t xml:space="preserve">Quota  di donne laureate in materie del gruppo </t>
    </r>
    <r>
      <rPr>
        <i/>
        <sz val="10"/>
        <rFont val="Calibri"/>
        <family val="2"/>
      </rPr>
      <t xml:space="preserve">geo-biologico  </t>
    </r>
  </si>
  <si>
    <r>
      <t xml:space="preserve">Quota di donne laureate in materie del gruppo </t>
    </r>
    <r>
      <rPr>
        <i/>
        <sz val="10"/>
        <rFont val="Calibri"/>
        <family val="2"/>
      </rPr>
      <t>medico</t>
    </r>
    <r>
      <rPr>
        <sz val="10"/>
        <rFont val="Calibri"/>
        <family val="2"/>
      </rPr>
      <t xml:space="preserve"> </t>
    </r>
  </si>
  <si>
    <r>
      <t xml:space="preserve">Quota di donne laureate in materie del gruppo </t>
    </r>
    <r>
      <rPr>
        <i/>
        <sz val="10"/>
        <rFont val="Calibri"/>
        <family val="2"/>
      </rPr>
      <t>ingegneria</t>
    </r>
  </si>
  <si>
    <r>
      <t xml:space="preserve">Quota di donne laureate in materie del gruppo </t>
    </r>
    <r>
      <rPr>
        <i/>
        <sz val="10"/>
        <rFont val="Calibri"/>
        <family val="2"/>
      </rPr>
      <t>architettura</t>
    </r>
  </si>
  <si>
    <r>
      <t xml:space="preserve">Quota di donne laureate in materie del gruppo </t>
    </r>
    <r>
      <rPr>
        <i/>
        <sz val="10"/>
        <rFont val="Calibri"/>
        <family val="2"/>
      </rPr>
      <t>agrario</t>
    </r>
    <r>
      <rPr>
        <sz val="10"/>
        <rFont val="Calibri"/>
        <family val="2"/>
      </rPr>
      <t xml:space="preserve"> </t>
    </r>
  </si>
  <si>
    <r>
      <t>Quota di donne laureate in materie del gruppo</t>
    </r>
    <r>
      <rPr>
        <i/>
        <sz val="10"/>
        <rFont val="Calibri"/>
        <family val="2"/>
      </rPr>
      <t xml:space="preserve"> economico-statistico</t>
    </r>
  </si>
  <si>
    <r>
      <t xml:space="preserve">Quota di donne laureate in materie del gruppo </t>
    </r>
    <r>
      <rPr>
        <i/>
        <sz val="10"/>
        <rFont val="Calibri"/>
        <family val="2"/>
      </rPr>
      <t xml:space="preserve">politico-sociale </t>
    </r>
  </si>
  <si>
    <r>
      <t xml:space="preserve">Quota di donne laureate in materie del gruppo </t>
    </r>
    <r>
      <rPr>
        <i/>
        <sz val="10"/>
        <rFont val="Calibri"/>
        <family val="2"/>
      </rPr>
      <t>giuridico</t>
    </r>
    <r>
      <rPr>
        <sz val="10"/>
        <rFont val="Calibri"/>
        <family val="2"/>
      </rPr>
      <t xml:space="preserve"> </t>
    </r>
  </si>
  <si>
    <r>
      <t xml:space="preserve">Quota di donne laureate in materie del gruppo </t>
    </r>
    <r>
      <rPr>
        <i/>
        <sz val="10"/>
        <rFont val="Calibri"/>
        <family val="2"/>
      </rPr>
      <t>letterario</t>
    </r>
    <r>
      <rPr>
        <sz val="10"/>
        <rFont val="Calibri"/>
        <family val="2"/>
      </rPr>
      <t xml:space="preserve"> </t>
    </r>
  </si>
  <si>
    <r>
      <t xml:space="preserve">Quote di donne laureate in materie del gruppo </t>
    </r>
    <r>
      <rPr>
        <i/>
        <sz val="10"/>
        <rFont val="Calibri"/>
        <family val="2"/>
      </rPr>
      <t>linguistico</t>
    </r>
    <r>
      <rPr>
        <sz val="10"/>
        <rFont val="Calibri"/>
        <family val="2"/>
      </rPr>
      <t xml:space="preserve"> </t>
    </r>
  </si>
  <si>
    <r>
      <t xml:space="preserve">Quote di donne laureate in materie del gruppo </t>
    </r>
    <r>
      <rPr>
        <i/>
        <sz val="10"/>
        <rFont val="Calibri"/>
        <family val="2"/>
      </rPr>
      <t>insegnamento</t>
    </r>
    <r>
      <rPr>
        <sz val="10"/>
        <rFont val="Calibri"/>
        <family val="2"/>
      </rPr>
      <t xml:space="preserve"> </t>
    </r>
  </si>
  <si>
    <r>
      <t xml:space="preserve">Quota di donne laureate in materie del gruppo </t>
    </r>
    <r>
      <rPr>
        <i/>
        <sz val="10"/>
        <rFont val="Calibri"/>
        <family val="2"/>
      </rPr>
      <t>psicologico</t>
    </r>
    <r>
      <rPr>
        <sz val="10"/>
        <rFont val="Calibri"/>
        <family val="2"/>
      </rPr>
      <t xml:space="preserve"> </t>
    </r>
  </si>
  <si>
    <r>
      <t xml:space="preserve">Quote di donne laureate in materie del gruppo </t>
    </r>
    <r>
      <rPr>
        <i/>
        <sz val="10"/>
        <rFont val="Calibri"/>
        <family val="2"/>
      </rPr>
      <t xml:space="preserve">educazione fisica </t>
    </r>
  </si>
  <si>
    <r>
      <t xml:space="preserve">Quote di donne laureate in materie del gruppo </t>
    </r>
    <r>
      <rPr>
        <i/>
        <sz val="10"/>
        <rFont val="Calibri"/>
        <family val="2"/>
      </rPr>
      <t xml:space="preserve">difesa e sicurezza </t>
    </r>
  </si>
  <si>
    <t>Istat 
http://dati.coesione-sociale.it/#</t>
  </si>
  <si>
    <t>N. di donne diplomate/ n. totale diplomati</t>
  </si>
  <si>
    <t>N. di donne laureate/ n. totale di laureati</t>
  </si>
  <si>
    <t>Istat: http://dati.istat.it/Index.aspx?DataSetCode=DICIS_SCUOLSEC1&amp;Lang=</t>
  </si>
  <si>
    <t>N. di donne iscritte alla scuola secondaria superiore / n. totale di iscritti alla scuola secondaria superiore</t>
  </si>
  <si>
    <t xml:space="preserve">Istat 
http://www.istat.it/it/archivio/17290 </t>
  </si>
  <si>
    <t>(*) Il tasso di scolarità può assumere  valori superiori a 100 per la presenza di ripetenze, anticipi di frequenza o di studenti residenti in altre regioni.
(**) Il dato riferito a Nord ovest e Nord est coincide con il dato complessivo del Nord.
(***) Il dato riferito a Sud eIsole coincide con il dato complessivo del Sud+Isole.</t>
  </si>
  <si>
    <t>N.donne iscritte alla scuola secondaria di secondo grado / popalazione di 14 - 18 anni</t>
  </si>
  <si>
    <t>(*) Iscritti all'università – in qualunque sede – residenti in una regione, per 100 giovani di 19-25 anni residenti nella stessa regione.
(**) Il dato riferito a Nord ovest e Nord est coincide con il dato complessivo del Nord.
(***) Il dato riferito a Sud eIsole coincide con il dato complessivo del Sud+Isole.</t>
  </si>
  <si>
    <t xml:space="preserve"> N. iscritti all'università – in qualunque sede – residenti in una regione di 19-25 anni / N. residenti nella stessa regione di 19-25 anni</t>
  </si>
  <si>
    <t>(*) Immatricolati per 100 diplomati di scuola secondaria di secondo grado dell'anno scolastico precedente. 
(**) Il dato riferito a Nord ovest e Nord est coincide con il dato complessivo del Nord.
(***) Il dato riferito a Sud eIsole coincide con il dato complessivo del Sud+Isole.</t>
  </si>
  <si>
    <t>N. Immatricolati diplomati di scuola secondaria di secondo grado dell'anno scolastico precedente / n. totale diplomati di scuola secondaria di secondo grado dell'anno scolastico precedente</t>
  </si>
  <si>
    <t>(*) Comprende i titoli universitari del vecchio ordinamento (diplomi universitari e lauree di 4-6 anni) e del nuovo ordinamento (lauree triennali e specialistiche/magistrali a ciclo unico). Non sono comprese le lauree specialistiche biennali. L'indicatore è una misura della quota di venticinquenni che ha conseguito almeno un titolo di formazione terziaria universitaria.
(**) Il dato riferito a Nord ovest e Nord est coincide con il dato complessivo del Nord.
(***) Il dato riferito a Sud eIsole coincide con il dato complessivo del Sud+Isole.</t>
  </si>
  <si>
    <t>Quota di venticinquenni che ha conseguito almeno un titolo di formazione terziaria universitaria</t>
  </si>
  <si>
    <t>(*)Comprende le lauree tradizionali del vecchio ordinamento, le lauree specialistiche/magistrali a ciclo unico e quelle specialistiche/magistrali biennali. L'indicatore è una misura della quota di venticinquenni che completano un percorso di formazione universitaria "lungo". 
(**) Il dato riferito a Nord ovest e Nord est coincide con il dato complessivo del Nord.
(***) Il dato riferito a Sud eIsole coincide con il dato complessivo del Sud+Isole.</t>
  </si>
  <si>
    <t>Quota di venticinquenni che completano un percorso di formazione universitaria "lungo"</t>
  </si>
  <si>
    <t>N. di donne residenti che hanno conseguito la licenza elementare, nessun titolo / n. totale della popolazione femminile residente della stessa regione</t>
  </si>
  <si>
    <t>N. di donne residenti che hanno conseguito la licenza media / n. totale della popolazione femminile residente della stessa regione</t>
  </si>
  <si>
    <t xml:space="preserve">N. di donne residenti che hanno conseguito un diploma di scuola secondaria superiore / n. totale della popolazione femminile residente nella stessa regione </t>
  </si>
  <si>
    <t>N. di donne residenti che hanno conseguito una qualifica professionale / n. totale della popolazione femminile residente della stessa regione</t>
  </si>
  <si>
    <t xml:space="preserve">N. di donne residenti che hanno conseguito un dottorato, laurea e diploma universitario / n. totale della popolazione femminile residente nella stessa regione </t>
  </si>
  <si>
    <t>Istat
http://www.istat.it/it/archivio/16777</t>
  </si>
  <si>
    <t>Popolazione femminile25-64 anni che frequenta un corso di studio o di formazione professionale/Popolazione femminile25-64 anni</t>
  </si>
  <si>
    <t>Istat http://dati.coesione-sociale.it/?lang=it</t>
  </si>
  <si>
    <t xml:space="preserve">N. di donne diplomate al liceo/ n. totale di diplomati al liceo </t>
  </si>
  <si>
    <t>N. di donne diplomate presso istituti tecnici/ n. totale di diplomati presso istituti tecnici</t>
  </si>
  <si>
    <t>N. di donne diplomate presso istituti professionali/ n. totale di diplomati presso istituti professionali</t>
  </si>
  <si>
    <t>Istat http://dati.istat.it/Index.aspx</t>
  </si>
  <si>
    <t>N. di donne laureate in materie scientifiche/ n. totale di laureati in materie scientifiche</t>
  </si>
  <si>
    <t>N. di donne laureate in materie del gruppo chimico-farmaceutico/ n. totale di laureati in materie del gruppo chimico-farmaceutico</t>
  </si>
  <si>
    <t>N. di donne laureate in materie del gruppo geo-biologico / n. totale di laureati in materie del gruppo geo-biologico</t>
  </si>
  <si>
    <t xml:space="preserve">N. di donne laureate in materie del gruppo medico  / n. totale di laureati in materie del gruppo medico </t>
  </si>
  <si>
    <t xml:space="preserve">N. di donne laureate in materie del gruppo ingegneria  / n. totale di laureati in materie del gruppo ingegneria </t>
  </si>
  <si>
    <t xml:space="preserve">N. di donne laureate in materie del gruppo architettura / n. totale di laureati in materie del gruppo architettura          </t>
  </si>
  <si>
    <t xml:space="preserve">N. di donne laureate in materie del gruppo agrario / n. totale di laureati in materie del gruppo agrario          </t>
  </si>
  <si>
    <t xml:space="preserve">N. di donne laureate in materie del gruppo economico-statistico / n. totale di laureati in materie del gruppo economico-statistico          </t>
  </si>
  <si>
    <t xml:space="preserve">N. di donne laureate in materie del gruppo politico-sociale / n. totale di laureati in materie del gruppo politico-sociale          </t>
  </si>
  <si>
    <t xml:space="preserve">N. di donne laureate in materie del gruppo giuridico / n. totale di laureati in materie del gruppo giuridico        </t>
  </si>
  <si>
    <t xml:space="preserve">N. di donne laureate in materie del gruppo letterario / n. totale di laureati in materie del gruppo letterario        </t>
  </si>
  <si>
    <t xml:space="preserve">N. di donne laureate in materie del gruppo linguistico / n. totale di laureati in materie del gruppo linguistico        </t>
  </si>
  <si>
    <t xml:space="preserve">N. di donne laureate in materie del gruppo insegnamento / n. totale di laureati in materie del gruppo insegnamento        </t>
  </si>
  <si>
    <t xml:space="preserve">N. di donne laureate in materie del gruppo psicologico / n. totale di laureati in materie del gruppo psicologico        </t>
  </si>
  <si>
    <t xml:space="preserve">N. di donne laureate in materie del gruppo educazione fisica / n. totale di laureati in materie del gruppo educazione fisica        </t>
  </si>
  <si>
    <t xml:space="preserve">N. di donne laureate in materie del gruppo difesa e sicurezza / n. totale di laureati in materie del gruppo difesa e sicurezza        </t>
  </si>
  <si>
    <r>
      <t>Quota di donne laureate in materie del gruppo</t>
    </r>
    <r>
      <rPr>
        <i/>
        <sz val="10"/>
        <rFont val="Calibri"/>
        <family val="2"/>
      </rPr>
      <t xml:space="preserve"> chimico-farmaceutico</t>
    </r>
  </si>
  <si>
    <r>
      <t xml:space="preserve">Quota di donne laureate in materie del gruppo </t>
    </r>
    <r>
      <rPr>
        <i/>
        <sz val="10"/>
        <rFont val="Calibri"/>
        <family val="2"/>
      </rPr>
      <t xml:space="preserve">geo-biologico  </t>
    </r>
  </si>
  <si>
    <t xml:space="preserve">licenza media </t>
  </si>
  <si>
    <t xml:space="preserve">diploma di scuola secondaria superiore </t>
  </si>
  <si>
    <t xml:space="preserve">qualifica professionale </t>
  </si>
  <si>
    <t xml:space="preserve">licenza elementare - nessun titolo </t>
  </si>
  <si>
    <t>dottorato - laurea - diploma universitario</t>
  </si>
  <si>
    <t>Donne</t>
  </si>
  <si>
    <t>Uomini</t>
  </si>
  <si>
    <t>Liceo</t>
  </si>
  <si>
    <t>Istituti tecnici</t>
  </si>
  <si>
    <t>Istituti professionali</t>
  </si>
  <si>
    <t>gruppo scientifico</t>
  </si>
  <si>
    <t>gruppo chimico-farmaceutico</t>
  </si>
  <si>
    <t xml:space="preserve">gruppo geo-biologico  </t>
  </si>
  <si>
    <t xml:space="preserve">gruppo medico </t>
  </si>
  <si>
    <t>gruppo ingegneria</t>
  </si>
  <si>
    <t>gruppo architettura</t>
  </si>
  <si>
    <t xml:space="preserve">gruppo agrario </t>
  </si>
  <si>
    <t>gruppo economico-statistico</t>
  </si>
  <si>
    <t xml:space="preserve">gruppo politico-sociale </t>
  </si>
  <si>
    <t xml:space="preserve">gruppo giuridico </t>
  </si>
  <si>
    <t xml:space="preserve">gruppo letterario </t>
  </si>
  <si>
    <t xml:space="preserve">gruppo psicologico </t>
  </si>
  <si>
    <t xml:space="preserve">gruppo linguistico </t>
  </si>
  <si>
    <t xml:space="preserve">gruppo insegnamento </t>
  </si>
  <si>
    <t xml:space="preserve">gruppo educazione fisica </t>
  </si>
  <si>
    <t xml:space="preserve">gruppo difesa e sicurezza </t>
  </si>
  <si>
    <t>CAPITALE 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</si>
</sst>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0.0"/>
    <numFmt numFmtId="166" formatCode="#,##0.0_-"/>
    <numFmt numFmtId="167" formatCode="_-* #,##0.0_-;\-* #,##0.0_-;_-* &quot;-&quot;??_-;_-@_-"/>
    <numFmt numFmtId="168" formatCode="_-* #,##0_-;\-* #,##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10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sz val="10"/>
      <color indexed="60"/>
      <name val="Tahoma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i/>
      <sz val="10"/>
      <name val="Calibri"/>
      <family val="2"/>
    </font>
    <font>
      <b/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1291C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20" fillId="0" borderId="0"/>
    <xf numFmtId="166" fontId="20" fillId="0" borderId="12">
      <alignment horizontal="right" vertical="center"/>
    </xf>
    <xf numFmtId="49" fontId="20" fillId="0" borderId="12">
      <alignment vertical="center" wrapText="1"/>
    </xf>
  </cellStyleXfs>
  <cellXfs count="160">
    <xf numFmtId="0" fontId="0" fillId="0" borderId="0" xfId="0"/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7" borderId="2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0" fillId="7" borderId="9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0" fillId="6" borderId="8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64" fontId="16" fillId="0" borderId="0" xfId="2" applyNumberFormat="1" applyFont="1" applyBorder="1" applyAlignment="1">
      <alignment horizontal="center" vertical="center" wrapText="1"/>
    </xf>
    <xf numFmtId="0" fontId="16" fillId="0" borderId="0" xfId="2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4" fillId="0" borderId="0" xfId="3" applyFont="1" applyAlignment="1">
      <alignment vertical="top"/>
    </xf>
    <xf numFmtId="0" fontId="18" fillId="0" borderId="0" xfId="3" applyFont="1" applyFill="1" applyAlignment="1">
      <alignment vertical="top"/>
    </xf>
    <xf numFmtId="0" fontId="15" fillId="0" borderId="0" xfId="3" applyFont="1" applyAlignment="1">
      <alignment vertical="top" wrapText="1"/>
    </xf>
    <xf numFmtId="0" fontId="13" fillId="0" borderId="0" xfId="3" applyFont="1" applyFill="1" applyAlignment="1">
      <alignment vertical="top" wrapText="1"/>
    </xf>
    <xf numFmtId="0" fontId="14" fillId="0" borderId="0" xfId="3" applyFont="1" applyAlignment="1">
      <alignment vertical="center"/>
    </xf>
    <xf numFmtId="0" fontId="14" fillId="0" borderId="0" xfId="3" applyAlignment="1">
      <alignment vertical="center"/>
    </xf>
    <xf numFmtId="0" fontId="19" fillId="0" borderId="0" xfId="3" applyFont="1"/>
    <xf numFmtId="0" fontId="4" fillId="0" borderId="0" xfId="0" applyFont="1" applyAlignment="1">
      <alignment horizontal="left" vertical="center"/>
    </xf>
    <xf numFmtId="0" fontId="19" fillId="9" borderId="1" xfId="3" applyFont="1" applyFill="1" applyBorder="1" applyAlignment="1">
      <alignment horizontal="center" vertical="top"/>
    </xf>
    <xf numFmtId="0" fontId="0" fillId="0" borderId="0" xfId="0" applyAlignment="1"/>
    <xf numFmtId="167" fontId="10" fillId="0" borderId="0" xfId="1" applyNumberFormat="1" applyFont="1" applyBorder="1" applyAlignment="1">
      <alignment vertical="center"/>
    </xf>
    <xf numFmtId="0" fontId="0" fillId="10" borderId="1" xfId="0" applyFill="1" applyBorder="1" applyAlignment="1"/>
    <xf numFmtId="0" fontId="22" fillId="10" borderId="1" xfId="0" applyFont="1" applyFill="1" applyBorder="1" applyAlignment="1">
      <alignment horizontal="left" vertical="center" wrapText="1"/>
    </xf>
    <xf numFmtId="0" fontId="19" fillId="10" borderId="1" xfId="0" applyFont="1" applyFill="1" applyBorder="1"/>
    <xf numFmtId="0" fontId="14" fillId="10" borderId="1" xfId="0" applyFont="1" applyFill="1" applyBorder="1" applyAlignment="1">
      <alignment vertical="top"/>
    </xf>
    <xf numFmtId="0" fontId="17" fillId="10" borderId="1" xfId="0" applyFont="1" applyFill="1" applyBorder="1" applyAlignment="1">
      <alignment horizontal="center" vertical="top" wrapText="1"/>
    </xf>
    <xf numFmtId="3" fontId="14" fillId="10" borderId="1" xfId="0" applyNumberFormat="1" applyFont="1" applyFill="1" applyBorder="1" applyAlignment="1">
      <alignment horizontal="right" vertical="center"/>
    </xf>
    <xf numFmtId="0" fontId="17" fillId="10" borderId="1" xfId="0" applyFont="1" applyFill="1" applyBorder="1" applyAlignment="1">
      <alignment horizontal="justify" vertical="center" wrapText="1"/>
    </xf>
    <xf numFmtId="0" fontId="17" fillId="10" borderId="1" xfId="0" applyFont="1" applyFill="1" applyBorder="1" applyAlignment="1">
      <alignment horizontal="justify" vertical="top" wrapText="1"/>
    </xf>
    <xf numFmtId="165" fontId="14" fillId="10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165" fontId="14" fillId="10" borderId="1" xfId="0" applyNumberFormat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22" fillId="0" borderId="13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7" fillId="0" borderId="1" xfId="0" applyFont="1" applyBorder="1" applyAlignment="1">
      <alignment horizontal="justify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/>
    </xf>
    <xf numFmtId="3" fontId="0" fillId="0" borderId="1" xfId="0" applyNumberFormat="1" applyFill="1" applyBorder="1" applyAlignment="1">
      <alignment horizontal="right" vertical="center"/>
    </xf>
    <xf numFmtId="0" fontId="24" fillId="0" borderId="1" xfId="0" applyFont="1" applyBorder="1" applyAlignment="1">
      <alignment horizontal="justify" vertical="center" wrapText="1"/>
    </xf>
    <xf numFmtId="165" fontId="25" fillId="0" borderId="1" xfId="0" applyNumberFormat="1" applyFont="1" applyBorder="1" applyAlignment="1">
      <alignment horizontal="center" vertical="center" wrapText="1"/>
    </xf>
    <xf numFmtId="1" fontId="25" fillId="0" borderId="1" xfId="0" applyNumberFormat="1" applyFont="1" applyBorder="1" applyAlignment="1">
      <alignment horizontal="center" vertical="center"/>
    </xf>
    <xf numFmtId="3" fontId="26" fillId="0" borderId="1" xfId="0" applyNumberFormat="1" applyFont="1" applyFill="1" applyBorder="1" applyAlignment="1">
      <alignment horizontal="right" vertical="center"/>
    </xf>
    <xf numFmtId="0" fontId="27" fillId="0" borderId="1" xfId="0" applyFont="1" applyBorder="1" applyAlignment="1">
      <alignment horizontal="justify" vertical="center" wrapText="1"/>
    </xf>
    <xf numFmtId="165" fontId="12" fillId="0" borderId="14" xfId="0" applyNumberFormat="1" applyFont="1" applyBorder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/>
    </xf>
    <xf numFmtId="165" fontId="14" fillId="0" borderId="14" xfId="0" applyNumberFormat="1" applyFont="1" applyFill="1" applyBorder="1" applyAlignment="1">
      <alignment horizontal="right" vertical="center"/>
    </xf>
    <xf numFmtId="0" fontId="17" fillId="11" borderId="4" xfId="0" applyFont="1" applyFill="1" applyBorder="1" applyAlignment="1">
      <alignment horizontal="justify" vertical="center" wrapText="1"/>
    </xf>
    <xf numFmtId="165" fontId="12" fillId="11" borderId="14" xfId="0" applyNumberFormat="1" applyFont="1" applyFill="1" applyBorder="1" applyAlignment="1">
      <alignment horizontal="center" vertical="center"/>
    </xf>
    <xf numFmtId="165" fontId="12" fillId="11" borderId="14" xfId="0" applyNumberFormat="1" applyFont="1" applyFill="1" applyBorder="1" applyAlignment="1">
      <alignment horizontal="center" vertical="center" wrapText="1"/>
    </xf>
    <xf numFmtId="165" fontId="14" fillId="11" borderId="14" xfId="0" applyNumberFormat="1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165" fontId="12" fillId="0" borderId="1" xfId="0" applyNumberFormat="1" applyFont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22" fillId="0" borderId="15" xfId="0" applyFont="1" applyBorder="1" applyAlignment="1">
      <alignment horizontal="justify" vertical="center" wrapText="1"/>
    </xf>
    <xf numFmtId="0" fontId="22" fillId="0" borderId="0" xfId="0" applyFont="1" applyBorder="1" applyAlignment="1">
      <alignment horizontal="justify" vertical="center" wrapText="1"/>
    </xf>
    <xf numFmtId="0" fontId="12" fillId="0" borderId="7" xfId="0" applyFont="1" applyBorder="1" applyAlignment="1">
      <alignment vertical="center" wrapText="1"/>
    </xf>
    <xf numFmtId="1" fontId="12" fillId="0" borderId="14" xfId="0" applyNumberFormat="1" applyFont="1" applyBorder="1" applyAlignment="1">
      <alignment horizontal="center" vertical="center"/>
    </xf>
    <xf numFmtId="165" fontId="14" fillId="0" borderId="14" xfId="0" applyNumberFormat="1" applyFont="1" applyBorder="1" applyAlignment="1">
      <alignment horizontal="right" vertical="center"/>
    </xf>
    <xf numFmtId="165" fontId="12" fillId="0" borderId="14" xfId="0" applyNumberFormat="1" applyFont="1" applyBorder="1" applyAlignment="1">
      <alignment horizontal="center" vertical="center" wrapText="1"/>
    </xf>
    <xf numFmtId="165" fontId="14" fillId="12" borderId="14" xfId="0" applyNumberFormat="1" applyFont="1" applyFill="1" applyBorder="1" applyAlignment="1">
      <alignment horizontal="right" vertical="center"/>
    </xf>
    <xf numFmtId="0" fontId="22" fillId="0" borderId="15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justify" vertical="center" wrapText="1"/>
    </xf>
    <xf numFmtId="9" fontId="14" fillId="0" borderId="0" xfId="2" applyFont="1" applyAlignment="1">
      <alignment horizontal="right" vertical="center"/>
    </xf>
    <xf numFmtId="10" fontId="14" fillId="0" borderId="0" xfId="2" applyNumberFormat="1" applyFont="1" applyAlignment="1">
      <alignment horizontal="right" vertical="center"/>
    </xf>
    <xf numFmtId="0" fontId="17" fillId="0" borderId="1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justify" vertical="center" wrapText="1"/>
    </xf>
    <xf numFmtId="0" fontId="17" fillId="11" borderId="1" xfId="0" applyFont="1" applyFill="1" applyBorder="1" applyAlignment="1">
      <alignment horizontal="center" vertical="center" wrapText="1"/>
    </xf>
    <xf numFmtId="165" fontId="14" fillId="11" borderId="1" xfId="0" applyNumberFormat="1" applyFont="1" applyFill="1" applyBorder="1" applyAlignment="1">
      <alignment horizontal="right" vertical="center"/>
    </xf>
    <xf numFmtId="0" fontId="0" fillId="11" borderId="0" xfId="0" applyFont="1" applyFill="1" applyAlignment="1">
      <alignment vertical="center"/>
    </xf>
    <xf numFmtId="168" fontId="10" fillId="0" borderId="0" xfId="1" applyNumberFormat="1" applyFont="1" applyBorder="1" applyAlignment="1">
      <alignment vertical="center"/>
    </xf>
    <xf numFmtId="165" fontId="14" fillId="11" borderId="16" xfId="0" applyNumberFormat="1" applyFont="1" applyFill="1" applyBorder="1" applyAlignment="1">
      <alignment horizontal="right" vertical="center"/>
    </xf>
    <xf numFmtId="0" fontId="17" fillId="11" borderId="16" xfId="0" applyFont="1" applyFill="1" applyBorder="1" applyAlignment="1">
      <alignment horizontal="justify" vertical="center" wrapText="1"/>
    </xf>
    <xf numFmtId="0" fontId="13" fillId="0" borderId="0" xfId="0" applyFont="1" applyFill="1" applyAlignment="1">
      <alignment vertical="center" wrapText="1"/>
    </xf>
    <xf numFmtId="0" fontId="15" fillId="0" borderId="0" xfId="0" applyFont="1" applyAlignment="1">
      <alignment vertical="center" wrapText="1"/>
    </xf>
    <xf numFmtId="0" fontId="13" fillId="0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0" fillId="0" borderId="4" xfId="0" applyBorder="1" applyAlignment="1">
      <alignment vertical="center"/>
    </xf>
    <xf numFmtId="0" fontId="13" fillId="0" borderId="3" xfId="0" applyFont="1" applyFill="1" applyBorder="1" applyAlignment="1">
      <alignment vertical="center" wrapText="1"/>
    </xf>
    <xf numFmtId="0" fontId="15" fillId="0" borderId="3" xfId="0" applyFont="1" applyFill="1" applyBorder="1" applyAlignment="1">
      <alignment vertical="center" wrapText="1"/>
    </xf>
    <xf numFmtId="0" fontId="0" fillId="0" borderId="3" xfId="0" applyBorder="1" applyAlignment="1">
      <alignment vertical="center"/>
    </xf>
    <xf numFmtId="0" fontId="15" fillId="0" borderId="7" xfId="0" applyFont="1" applyFill="1" applyBorder="1" applyAlignment="1">
      <alignment vertical="center" wrapText="1"/>
    </xf>
    <xf numFmtId="0" fontId="0" fillId="0" borderId="7" xfId="0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4" fillId="0" borderId="4" xfId="0" applyFont="1" applyBorder="1" applyAlignment="1">
      <alignment vertical="center"/>
    </xf>
    <xf numFmtId="0" fontId="15" fillId="0" borderId="3" xfId="0" applyFont="1" applyBorder="1" applyAlignment="1">
      <alignment horizontal="right" vertical="center" wrapText="1"/>
    </xf>
    <xf numFmtId="0" fontId="14" fillId="0" borderId="3" xfId="0" applyFont="1" applyBorder="1" applyAlignment="1">
      <alignment vertical="center"/>
    </xf>
    <xf numFmtId="0" fontId="15" fillId="0" borderId="7" xfId="0" applyFont="1" applyBorder="1" applyAlignment="1">
      <alignment horizontal="right" vertical="center" wrapText="1"/>
    </xf>
    <xf numFmtId="0" fontId="14" fillId="0" borderId="7" xfId="0" applyFont="1" applyBorder="1" applyAlignment="1">
      <alignment vertical="center"/>
    </xf>
    <xf numFmtId="0" fontId="15" fillId="0" borderId="1" xfId="0" applyFont="1" applyFill="1" applyBorder="1" applyAlignment="1">
      <alignment vertical="center" wrapText="1"/>
    </xf>
    <xf numFmtId="0" fontId="14" fillId="11" borderId="1" xfId="0" applyFont="1" applyFill="1" applyBorder="1" applyAlignment="1">
      <alignment vertical="center"/>
    </xf>
    <xf numFmtId="0" fontId="15" fillId="11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vertical="center" wrapText="1"/>
    </xf>
    <xf numFmtId="0" fontId="15" fillId="11" borderId="1" xfId="0" applyFont="1" applyFill="1" applyBorder="1" applyAlignment="1">
      <alignment horizontal="right" vertical="center" wrapText="1"/>
    </xf>
    <xf numFmtId="0" fontId="15" fillId="13" borderId="1" xfId="0" applyFont="1" applyFill="1" applyBorder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165" fontId="14" fillId="13" borderId="14" xfId="0" applyNumberFormat="1" applyFont="1" applyFill="1" applyBorder="1" applyAlignment="1">
      <alignment horizontal="right" vertical="center"/>
    </xf>
    <xf numFmtId="0" fontId="0" fillId="0" borderId="3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165" fontId="14" fillId="0" borderId="1" xfId="0" applyNumberFormat="1" applyFont="1" applyBorder="1" applyAlignment="1">
      <alignment horizontal="right" vertical="center"/>
    </xf>
    <xf numFmtId="0" fontId="17" fillId="13" borderId="7" xfId="0" applyFont="1" applyFill="1" applyBorder="1" applyAlignment="1">
      <alignment horizontal="justify" vertical="center" wrapText="1"/>
    </xf>
    <xf numFmtId="0" fontId="13" fillId="13" borderId="1" xfId="0" applyFont="1" applyFill="1" applyBorder="1" applyAlignment="1">
      <alignment vertical="center" wrapText="1"/>
    </xf>
    <xf numFmtId="0" fontId="17" fillId="13" borderId="1" xfId="0" applyFont="1" applyFill="1" applyBorder="1" applyAlignment="1">
      <alignment horizontal="justify" vertical="center" wrapText="1"/>
    </xf>
    <xf numFmtId="0" fontId="10" fillId="0" borderId="0" xfId="0" applyFont="1" applyAlignment="1">
      <alignment vertical="center"/>
    </xf>
    <xf numFmtId="164" fontId="10" fillId="0" borderId="0" xfId="2" applyNumberFormat="1" applyFont="1" applyAlignment="1">
      <alignment vertical="center"/>
    </xf>
    <xf numFmtId="0" fontId="10" fillId="0" borderId="0" xfId="0" applyFont="1" applyAlignment="1">
      <alignment horizontal="right" vertical="center"/>
    </xf>
    <xf numFmtId="3" fontId="14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2" fillId="0" borderId="0" xfId="2" applyNumberFormat="1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7" fillId="0" borderId="0" xfId="2" applyNumberFormat="1" applyFont="1" applyAlignment="1">
      <alignment horizontal="center" vertical="center"/>
    </xf>
    <xf numFmtId="164" fontId="16" fillId="0" borderId="0" xfId="2" applyNumberFormat="1" applyFont="1" applyAlignment="1">
      <alignment horizontal="center" vertical="center"/>
    </xf>
    <xf numFmtId="0" fontId="28" fillId="14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5" fillId="15" borderId="1" xfId="0" applyFont="1" applyFill="1" applyBorder="1" applyAlignment="1">
      <alignment horizontal="left" vertical="center" wrapText="1"/>
    </xf>
  </cellXfs>
  <cellStyles count="7">
    <cellStyle name="Migliaia" xfId="1" builtinId="3"/>
    <cellStyle name="NewStyle" xfId="4"/>
    <cellStyle name="Normale" xfId="0" builtinId="0"/>
    <cellStyle name="Normale 2" xfId="3"/>
    <cellStyle name="Percentuale" xfId="2" builtinId="5"/>
    <cellStyle name="T_decimale(1)" xfId="5"/>
    <cellStyle name="T_fiancata" xfId="6"/>
  </cellStyles>
  <dxfs count="2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B1291C"/>
      <color rgb="FF8A7972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1888101487314086"/>
          <c:y val="0.30651549674337958"/>
          <c:w val="0.40390463692038492"/>
          <c:h val="0.59513553406318576"/>
        </c:manualLayout>
      </c:layout>
      <c:doughnutChart>
        <c:varyColors val="1"/>
        <c:ser>
          <c:idx val="0"/>
          <c:order val="0"/>
          <c:tx>
            <c:strRef>
              <c:f>Dati!$I$233</c:f>
              <c:strCache>
                <c:ptCount val="1"/>
                <c:pt idx="0">
                  <c:v>DISTRIBUZIONE DELLE DONNE PER TIPOLOGIA DI ISTRUZIONE -  ()</c:v>
                </c:pt>
              </c:strCache>
            </c:strRef>
          </c:tx>
          <c:dLbls>
            <c:dLbl>
              <c:idx val="0"/>
              <c:layout>
                <c:manualLayout>
                  <c:x val="0.14166666666666666"/>
                  <c:y val="-8.1242516180171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166666666666666"/>
                  <c:y val="0.103399566047490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166666666666666"/>
                  <c:y val="3.3235574800979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055555555555559"/>
                  <c:y val="-7.3856832891064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3333333333333381E-2"/>
                  <c:y val="-0.14402082413757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Dati!$I$234:$I$238</c:f>
              <c:strCache>
                <c:ptCount val="5"/>
                <c:pt idx="0">
                  <c:v>licenza elementare - nessun titolo </c:v>
                </c:pt>
                <c:pt idx="1">
                  <c:v>licenza media </c:v>
                </c:pt>
                <c:pt idx="2">
                  <c:v>diploma di scuola secondaria superiore </c:v>
                </c:pt>
                <c:pt idx="3">
                  <c:v>qualifica professionale </c:v>
                </c:pt>
                <c:pt idx="4">
                  <c:v>dottorato - laurea - diploma universitario</c:v>
                </c:pt>
              </c:strCache>
            </c:strRef>
          </c:cat>
          <c:val>
            <c:numRef>
              <c:f>Dati!$J$234:$J$238</c:f>
              <c:numCache>
                <c:formatCode>_-* #,##0.0_-;\-* #,##0.0_-;_-*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Dati!$F$414</c:f>
          <c:strCache>
            <c:ptCount val="1"/>
          </c:strCache>
        </c:strRef>
      </c:tx>
      <c:layout/>
      <c:overlay val="0"/>
      <c:txPr>
        <a:bodyPr/>
        <a:lstStyle/>
        <a:p>
          <a:pPr>
            <a:defRPr sz="1200" b="0">
              <a:solidFill>
                <a:srgbClr val="B1291C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Dati!$E$415:$E$430</c:f>
              <c:strCache>
                <c:ptCount val="16"/>
                <c:pt idx="0">
                  <c:v>gruppo insegnamento </c:v>
                </c:pt>
                <c:pt idx="1">
                  <c:v>gruppo linguistico </c:v>
                </c:pt>
                <c:pt idx="2">
                  <c:v>gruppo psicologico </c:v>
                </c:pt>
                <c:pt idx="3">
                  <c:v>gruppo letterario </c:v>
                </c:pt>
                <c:pt idx="4">
                  <c:v>gruppo geo-biologico  </c:v>
                </c:pt>
                <c:pt idx="5">
                  <c:v>gruppo medico </c:v>
                </c:pt>
                <c:pt idx="6">
                  <c:v>gruppo chimico-farmaceutico</c:v>
                </c:pt>
                <c:pt idx="7">
                  <c:v>gruppo giuridico </c:v>
                </c:pt>
                <c:pt idx="8">
                  <c:v>gruppo politico-sociale </c:v>
                </c:pt>
                <c:pt idx="9">
                  <c:v>gruppo architettura</c:v>
                </c:pt>
                <c:pt idx="10">
                  <c:v>gruppo economico-statistico</c:v>
                </c:pt>
                <c:pt idx="11">
                  <c:v>gruppo educazione fisica </c:v>
                </c:pt>
                <c:pt idx="12">
                  <c:v>gruppo agrario </c:v>
                </c:pt>
                <c:pt idx="13">
                  <c:v>gruppo scientifico</c:v>
                </c:pt>
                <c:pt idx="14">
                  <c:v>gruppo ingegneria</c:v>
                </c:pt>
                <c:pt idx="15">
                  <c:v>gruppo difesa e sicurezza </c:v>
                </c:pt>
              </c:strCache>
            </c:strRef>
          </c:cat>
          <c:val>
            <c:numRef>
              <c:f>Dati!$F$415:$F$430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5219456"/>
        <c:axId val="175221376"/>
      </c:barChart>
      <c:catAx>
        <c:axId val="175219456"/>
        <c:scaling>
          <c:orientation val="maxMin"/>
        </c:scaling>
        <c:delete val="1"/>
        <c:axPos val="l"/>
        <c:majorTickMark val="out"/>
        <c:minorTickMark val="none"/>
        <c:tickLblPos val="nextTo"/>
        <c:crossAx val="175221376"/>
        <c:crosses val="autoZero"/>
        <c:auto val="1"/>
        <c:lblAlgn val="ctr"/>
        <c:lblOffset val="100"/>
        <c:noMultiLvlLbl val="0"/>
      </c:catAx>
      <c:valAx>
        <c:axId val="175221376"/>
        <c:scaling>
          <c:orientation val="minMax"/>
          <c:max val="1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75219456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Dati!$I$414</c:f>
          <c:strCache>
            <c:ptCount val="1"/>
          </c:strCache>
        </c:strRef>
      </c:tx>
      <c:layout/>
      <c:overlay val="0"/>
      <c:txPr>
        <a:bodyPr/>
        <a:lstStyle/>
        <a:p>
          <a:pPr>
            <a:defRPr sz="1200" b="0">
              <a:solidFill>
                <a:srgbClr val="B1291C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Dati!$H$415:$H$430</c:f>
              <c:strCache>
                <c:ptCount val="16"/>
                <c:pt idx="0">
                  <c:v>gruppo insegnamento </c:v>
                </c:pt>
                <c:pt idx="1">
                  <c:v>gruppo linguistico </c:v>
                </c:pt>
                <c:pt idx="2">
                  <c:v>gruppo psicologico </c:v>
                </c:pt>
                <c:pt idx="3">
                  <c:v>gruppo letterario </c:v>
                </c:pt>
                <c:pt idx="4">
                  <c:v>gruppo geo-biologico  </c:v>
                </c:pt>
                <c:pt idx="5">
                  <c:v>gruppo medico </c:v>
                </c:pt>
                <c:pt idx="6">
                  <c:v>gruppo chimico-farmaceutico</c:v>
                </c:pt>
                <c:pt idx="7">
                  <c:v>gruppo giuridico </c:v>
                </c:pt>
                <c:pt idx="8">
                  <c:v>gruppo politico-sociale </c:v>
                </c:pt>
                <c:pt idx="9">
                  <c:v>gruppo architettura</c:v>
                </c:pt>
                <c:pt idx="10">
                  <c:v>gruppo economico-statistico</c:v>
                </c:pt>
                <c:pt idx="11">
                  <c:v>gruppo educazione fisica </c:v>
                </c:pt>
                <c:pt idx="12">
                  <c:v>gruppo agrario </c:v>
                </c:pt>
                <c:pt idx="13">
                  <c:v>gruppo scientifico</c:v>
                </c:pt>
                <c:pt idx="14">
                  <c:v>gruppo ingegneria</c:v>
                </c:pt>
                <c:pt idx="15">
                  <c:v>gruppo difesa e sicurezza </c:v>
                </c:pt>
              </c:strCache>
            </c:strRef>
          </c:cat>
          <c:val>
            <c:numRef>
              <c:f>Dati!$I$415:$I$430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6615424"/>
        <c:axId val="176617344"/>
      </c:barChart>
      <c:catAx>
        <c:axId val="176615424"/>
        <c:scaling>
          <c:orientation val="maxMin"/>
        </c:scaling>
        <c:delete val="1"/>
        <c:axPos val="l"/>
        <c:majorTickMark val="out"/>
        <c:minorTickMark val="none"/>
        <c:tickLblPos val="nextTo"/>
        <c:crossAx val="176617344"/>
        <c:crosses val="autoZero"/>
        <c:auto val="1"/>
        <c:lblAlgn val="ctr"/>
        <c:lblOffset val="100"/>
        <c:noMultiLvlLbl val="0"/>
      </c:catAx>
      <c:valAx>
        <c:axId val="176617344"/>
        <c:scaling>
          <c:orientation val="minMax"/>
          <c:max val="1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76615424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Dati!$O$233</c:f>
          <c:strCache>
            <c:ptCount val="1"/>
            <c:pt idx="0">
              <c:v>DISTRIBUZIONE DELLE DONNE PER TIPOLOGIA DI ISTRUZIONE -  ()</c:v>
            </c:pt>
          </c:strCache>
        </c:strRef>
      </c:tx>
      <c:layout/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1888101487314086"/>
          <c:y val="0.30651549674337958"/>
          <c:w val="0.40390463692038492"/>
          <c:h val="0.59513553406318576"/>
        </c:manualLayout>
      </c:layout>
      <c:doughnutChart>
        <c:varyColors val="1"/>
        <c:ser>
          <c:idx val="0"/>
          <c:order val="0"/>
          <c:tx>
            <c:strRef>
              <c:f>Dati!$I$233</c:f>
              <c:strCache>
                <c:ptCount val="1"/>
                <c:pt idx="0">
                  <c:v>DISTRIBUZIONE DELLE DONNE PER TIPOLOGIA DI ISTRUZIONE -  ()</c:v>
                </c:pt>
              </c:strCache>
            </c:strRef>
          </c:tx>
          <c:dLbls>
            <c:dLbl>
              <c:idx val="0"/>
              <c:layout>
                <c:manualLayout>
                  <c:x val="0.14166666666666666"/>
                  <c:y val="-8.1242516180171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166666666666666"/>
                  <c:y val="0.103399566047490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166666666666666"/>
                  <c:y val="3.3235574800979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055555555555559"/>
                  <c:y val="-7.3856832891064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3333333333333381E-2"/>
                  <c:y val="-0.14402082413757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Dati!$I$234:$I$238</c:f>
              <c:strCache>
                <c:ptCount val="5"/>
                <c:pt idx="0">
                  <c:v>licenza elementare - nessun titolo </c:v>
                </c:pt>
                <c:pt idx="1">
                  <c:v>licenza media </c:v>
                </c:pt>
                <c:pt idx="2">
                  <c:v>diploma di scuola secondaria superiore </c:v>
                </c:pt>
                <c:pt idx="3">
                  <c:v>qualifica professionale </c:v>
                </c:pt>
                <c:pt idx="4">
                  <c:v>dottorato - laurea - diploma universitario</c:v>
                </c:pt>
              </c:strCache>
            </c:strRef>
          </c:cat>
          <c:val>
            <c:numRef>
              <c:f>Dati!$P$234:$P$238</c:f>
              <c:numCache>
                <c:formatCode>_-* #,##0.0_-;\-* #,##0.0_-;_-*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Dati!$U$233</c:f>
          <c:strCache>
            <c:ptCount val="1"/>
            <c:pt idx="0">
              <c:v>DISTRIBUZIONE DELLE DONNE PER TIPOLOGIA DI ISTRUZIONE -  ()</c:v>
            </c:pt>
          </c:strCache>
        </c:strRef>
      </c:tx>
      <c:overlay val="0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31888101487314086"/>
          <c:y val="0.30651549674337958"/>
          <c:w val="0.40390463692038492"/>
          <c:h val="0.59513553406318576"/>
        </c:manualLayout>
      </c:layout>
      <c:doughnutChart>
        <c:varyColors val="1"/>
        <c:ser>
          <c:idx val="0"/>
          <c:order val="0"/>
          <c:tx>
            <c:strRef>
              <c:f>Dati!$I$233</c:f>
              <c:strCache>
                <c:ptCount val="1"/>
                <c:pt idx="0">
                  <c:v>DISTRIBUZIONE DELLE DONNE PER TIPOLOGIA DI ISTRUZIONE -  ()</c:v>
                </c:pt>
              </c:strCache>
            </c:strRef>
          </c:tx>
          <c:dLbls>
            <c:dLbl>
              <c:idx val="0"/>
              <c:layout>
                <c:manualLayout>
                  <c:x val="0.14166666666666666"/>
                  <c:y val="-8.12425161801711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0.14166666666666666"/>
                  <c:y val="0.1033995660474905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166666666666666"/>
                  <c:y val="3.32355748009790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0.13055555555555559"/>
                  <c:y val="-7.38568328910646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-3.3333333333333381E-2"/>
                  <c:y val="-0.144020824137576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Dati!$U$234:$U$238</c:f>
              <c:strCache>
                <c:ptCount val="5"/>
                <c:pt idx="0">
                  <c:v>licenza elementare - nessun titolo </c:v>
                </c:pt>
                <c:pt idx="1">
                  <c:v>licenza media </c:v>
                </c:pt>
                <c:pt idx="2">
                  <c:v>diploma di scuola secondaria superiore </c:v>
                </c:pt>
                <c:pt idx="3">
                  <c:v>qualifica professionale </c:v>
                </c:pt>
                <c:pt idx="4">
                  <c:v>dottorato - laurea - diploma universitario</c:v>
                </c:pt>
              </c:strCache>
            </c:strRef>
          </c:cat>
          <c:val>
            <c:numRef>
              <c:f>Dati!$V$234:$V$238</c:f>
              <c:numCache>
                <c:formatCode>_-* #,##0.0_-;\-* #,##0.0_-;_-*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Dati!$J$212</c:f>
          <c:strCache>
            <c:ptCount val="1"/>
            <c:pt idx="0">
              <c:v>DIPLOMATI PER GENERE - 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814195100612422"/>
          <c:y val="0.1985221968430311"/>
          <c:w val="0.77024693788276466"/>
          <c:h val="0.680723570064923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Dati!$J$213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Dati!$K$212:$M$212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Dati!$K$213:$M$213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Dati!$J$214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Dati!$K$212:$M$212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Dati!$K$214:$M$214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24177408"/>
        <c:axId val="124188928"/>
      </c:barChart>
      <c:catAx>
        <c:axId val="124177408"/>
        <c:scaling>
          <c:orientation val="maxMin"/>
        </c:scaling>
        <c:delete val="0"/>
        <c:axPos val="l"/>
        <c:majorTickMark val="out"/>
        <c:minorTickMark val="none"/>
        <c:tickLblPos val="nextTo"/>
        <c:crossAx val="124188928"/>
        <c:crosses val="autoZero"/>
        <c:auto val="1"/>
        <c:lblAlgn val="ctr"/>
        <c:lblOffset val="100"/>
        <c:noMultiLvlLbl val="0"/>
      </c:catAx>
      <c:valAx>
        <c:axId val="12418892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2417740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21377055993000876"/>
          <c:y val="0.9023939195100612"/>
          <c:w val="0.70325039682539681"/>
          <c:h val="7.5050000000000006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Dati!$Q$212</c:f>
          <c:strCache>
            <c:ptCount val="1"/>
            <c:pt idx="0">
              <c:v>LAUREATI PER GENERE - 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814195100612422"/>
          <c:y val="0.1985221968430311"/>
          <c:w val="0.77024693788276466"/>
          <c:h val="0.680723570064923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Dati!$J$213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Dati!$K$212:$M$212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Dati!$K$213:$M$213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Dati!$J$214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Dati!$K$212:$M$212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Dati!$K$214:$M$214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59852032"/>
        <c:axId val="159853952"/>
      </c:barChart>
      <c:catAx>
        <c:axId val="159852032"/>
        <c:scaling>
          <c:orientation val="maxMin"/>
        </c:scaling>
        <c:delete val="0"/>
        <c:axPos val="l"/>
        <c:majorTickMark val="out"/>
        <c:minorTickMark val="none"/>
        <c:tickLblPos val="nextTo"/>
        <c:crossAx val="159853952"/>
        <c:crosses val="autoZero"/>
        <c:auto val="1"/>
        <c:lblAlgn val="ctr"/>
        <c:lblOffset val="100"/>
        <c:noMultiLvlLbl val="0"/>
      </c:catAx>
      <c:valAx>
        <c:axId val="15985395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5985203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21377055993000876"/>
          <c:y val="0.9023939195100612"/>
          <c:w val="0.70577023809523809"/>
          <c:h val="7.5050000000000006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Dati!$J$246</c:f>
          <c:strCache>
            <c:ptCount val="1"/>
            <c:pt idx="0">
              <c:v>INCIDENZA DELLE DONNE SUL TOTALE DIPLOMATI - 0 ()</c:v>
            </c:pt>
          </c:strCache>
        </c:strRef>
      </c:tx>
      <c:layout/>
      <c:overlay val="0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Dati!$K$246</c:f>
              <c:strCache>
                <c:ptCount val="1"/>
                <c:pt idx="0">
                  <c:v>0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Dati!$J$247:$J$249</c:f>
              <c:strCache>
                <c:ptCount val="3"/>
                <c:pt idx="0">
                  <c:v>Liceo</c:v>
                </c:pt>
                <c:pt idx="1">
                  <c:v>Istituti tecnici</c:v>
                </c:pt>
                <c:pt idx="2">
                  <c:v>Istituti professionali</c:v>
                </c:pt>
              </c:strCache>
            </c:strRef>
          </c:cat>
          <c:val>
            <c:numRef>
              <c:f>Dati!$K$247:$K$249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562688"/>
        <c:axId val="172569344"/>
      </c:barChart>
      <c:catAx>
        <c:axId val="172562688"/>
        <c:scaling>
          <c:orientation val="maxMin"/>
        </c:scaling>
        <c:delete val="0"/>
        <c:axPos val="l"/>
        <c:majorTickMark val="out"/>
        <c:minorTickMark val="none"/>
        <c:tickLblPos val="nextTo"/>
        <c:crossAx val="172569344"/>
        <c:crosses val="autoZero"/>
        <c:auto val="1"/>
        <c:lblAlgn val="ctr"/>
        <c:lblOffset val="100"/>
        <c:noMultiLvlLbl val="0"/>
      </c:catAx>
      <c:valAx>
        <c:axId val="172569344"/>
        <c:scaling>
          <c:orientation val="minMax"/>
          <c:max val="0.8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72562688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Dati!$P$246</c:f>
          <c:strCache>
            <c:ptCount val="1"/>
            <c:pt idx="0">
              <c:v>INCIDENZA DELLE DONNE SUL TOTALE DIPLOMATI -  ()</c:v>
            </c:pt>
          </c:strCache>
        </c:strRef>
      </c:tx>
      <c:layout/>
      <c:overlay val="0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Dati!$Q$246</c:f>
              <c:strCache>
                <c:ptCount val="1"/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Dati!$P$247:$P$249</c:f>
              <c:strCache>
                <c:ptCount val="3"/>
                <c:pt idx="0">
                  <c:v>Liceo</c:v>
                </c:pt>
                <c:pt idx="1">
                  <c:v>Istituti tecnici</c:v>
                </c:pt>
                <c:pt idx="2">
                  <c:v>Istituti professionali</c:v>
                </c:pt>
              </c:strCache>
            </c:strRef>
          </c:cat>
          <c:val>
            <c:numRef>
              <c:f>Dati!$Q$247:$Q$249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604800"/>
        <c:axId val="172939520"/>
      </c:barChart>
      <c:catAx>
        <c:axId val="172604800"/>
        <c:scaling>
          <c:orientation val="maxMin"/>
        </c:scaling>
        <c:delete val="0"/>
        <c:axPos val="l"/>
        <c:majorTickMark val="out"/>
        <c:minorTickMark val="none"/>
        <c:tickLblPos val="nextTo"/>
        <c:crossAx val="172939520"/>
        <c:crosses val="autoZero"/>
        <c:auto val="1"/>
        <c:lblAlgn val="ctr"/>
        <c:lblOffset val="100"/>
        <c:noMultiLvlLbl val="0"/>
      </c:catAx>
      <c:valAx>
        <c:axId val="172939520"/>
        <c:scaling>
          <c:orientation val="minMax"/>
          <c:max val="0.8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72604800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Dati!$V$246</c:f>
          <c:strCache>
            <c:ptCount val="1"/>
            <c:pt idx="0">
              <c:v>INCIDENZA DELLE DONNE SUL TOTALE DIPLOMATI -  ()</c:v>
            </c:pt>
          </c:strCache>
        </c:strRef>
      </c:tx>
      <c:overlay val="0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4297896825396825"/>
          <c:y val="0.2588579861111111"/>
          <c:w val="0.70751884920634922"/>
          <c:h val="0.692635069444444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Dati!$Q$246</c:f>
              <c:strCache>
                <c:ptCount val="1"/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Dati!$P$247:$P$249</c:f>
              <c:strCache>
                <c:ptCount val="3"/>
                <c:pt idx="0">
                  <c:v>Liceo</c:v>
                </c:pt>
                <c:pt idx="1">
                  <c:v>Istituti tecnici</c:v>
                </c:pt>
                <c:pt idx="2">
                  <c:v>Istituti professionali</c:v>
                </c:pt>
              </c:strCache>
            </c:strRef>
          </c:cat>
          <c:val>
            <c:numRef>
              <c:f>Dati!$Q$247:$Q$249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683456"/>
        <c:axId val="173685760"/>
      </c:barChart>
      <c:catAx>
        <c:axId val="173683456"/>
        <c:scaling>
          <c:orientation val="maxMin"/>
        </c:scaling>
        <c:delete val="0"/>
        <c:axPos val="l"/>
        <c:majorTickMark val="out"/>
        <c:minorTickMark val="none"/>
        <c:tickLblPos val="nextTo"/>
        <c:crossAx val="173685760"/>
        <c:crosses val="autoZero"/>
        <c:auto val="1"/>
        <c:lblAlgn val="ctr"/>
        <c:lblOffset val="100"/>
        <c:noMultiLvlLbl val="0"/>
      </c:catAx>
      <c:valAx>
        <c:axId val="173685760"/>
        <c:scaling>
          <c:orientation val="minMax"/>
          <c:max val="0.8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73683456"/>
        <c:crosses val="autoZero"/>
        <c:crossBetween val="between"/>
        <c:majorUnit val="0.2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Dati!$C$414</c:f>
          <c:strCache>
            <c:ptCount val="1"/>
            <c:pt idx="0">
              <c:v>0</c:v>
            </c:pt>
          </c:strCache>
        </c:strRef>
      </c:tx>
      <c:layout/>
      <c:overlay val="0"/>
      <c:txPr>
        <a:bodyPr/>
        <a:lstStyle/>
        <a:p>
          <a:pPr>
            <a:defRPr sz="1200" b="0">
              <a:solidFill>
                <a:srgbClr val="B1291C"/>
              </a:solidFill>
            </a:defRPr>
          </a:pPr>
          <a:endParaRPr lang="it-IT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Dati!$B$415:$B$430</c:f>
              <c:strCache>
                <c:ptCount val="16"/>
                <c:pt idx="0">
                  <c:v>gruppo insegnamento </c:v>
                </c:pt>
                <c:pt idx="1">
                  <c:v>gruppo linguistico </c:v>
                </c:pt>
                <c:pt idx="2">
                  <c:v>gruppo psicologico </c:v>
                </c:pt>
                <c:pt idx="3">
                  <c:v>gruppo letterario </c:v>
                </c:pt>
                <c:pt idx="4">
                  <c:v>gruppo geo-biologico  </c:v>
                </c:pt>
                <c:pt idx="5">
                  <c:v>gruppo medico </c:v>
                </c:pt>
                <c:pt idx="6">
                  <c:v>gruppo chimico-farmaceutico</c:v>
                </c:pt>
                <c:pt idx="7">
                  <c:v>gruppo giuridico </c:v>
                </c:pt>
                <c:pt idx="8">
                  <c:v>gruppo politico-sociale </c:v>
                </c:pt>
                <c:pt idx="9">
                  <c:v>gruppo architettura</c:v>
                </c:pt>
                <c:pt idx="10">
                  <c:v>gruppo economico-statistico</c:v>
                </c:pt>
                <c:pt idx="11">
                  <c:v>gruppo educazione fisica </c:v>
                </c:pt>
                <c:pt idx="12">
                  <c:v>gruppo agrario </c:v>
                </c:pt>
                <c:pt idx="13">
                  <c:v>gruppo scientifico</c:v>
                </c:pt>
                <c:pt idx="14">
                  <c:v>gruppo ingegneria</c:v>
                </c:pt>
                <c:pt idx="15">
                  <c:v>gruppo difesa e sicurezza </c:v>
                </c:pt>
              </c:strCache>
            </c:strRef>
          </c:cat>
          <c:val>
            <c:numRef>
              <c:f>Dati!$C$415:$C$430</c:f>
              <c:numCache>
                <c:formatCode>0.0%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73760512"/>
        <c:axId val="173762048"/>
      </c:barChart>
      <c:catAx>
        <c:axId val="173760512"/>
        <c:scaling>
          <c:orientation val="maxMin"/>
        </c:scaling>
        <c:delete val="0"/>
        <c:axPos val="l"/>
        <c:majorTickMark val="out"/>
        <c:minorTickMark val="none"/>
        <c:tickLblPos val="nextTo"/>
        <c:crossAx val="173762048"/>
        <c:crosses val="autoZero"/>
        <c:auto val="1"/>
        <c:lblAlgn val="ctr"/>
        <c:lblOffset val="100"/>
        <c:noMultiLvlLbl val="0"/>
      </c:catAx>
      <c:valAx>
        <c:axId val="173762048"/>
        <c:scaling>
          <c:orientation val="minMax"/>
          <c:max val="1"/>
        </c:scaling>
        <c:delete val="0"/>
        <c:axPos val="t"/>
        <c:majorGridlines/>
        <c:numFmt formatCode="0%" sourceLinked="0"/>
        <c:majorTickMark val="out"/>
        <c:minorTickMark val="none"/>
        <c:tickLblPos val="nextTo"/>
        <c:crossAx val="173760512"/>
        <c:crosses val="autoZero"/>
        <c:crossBetween val="between"/>
        <c:majorUnit val="0.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chart" Target="../charts/chart11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chart" Target="../charts/chart10.xml"/><Relationship Id="rId2" Type="http://schemas.openxmlformats.org/officeDocument/2006/relationships/image" Target="../media/image1.png"/><Relationship Id="rId1" Type="http://schemas.openxmlformats.org/officeDocument/2006/relationships/hyperlink" Target="#Note_Fonti_Calcolo!A1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242888</xdr:colOff>
      <xdr:row>205</xdr:row>
      <xdr:rowOff>142875</xdr:rowOff>
    </xdr:from>
    <xdr:to>
      <xdr:col>4</xdr:col>
      <xdr:colOff>690563</xdr:colOff>
      <xdr:row>208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532838</xdr:colOff>
      <xdr:row>206</xdr:row>
      <xdr:rowOff>53791</xdr:rowOff>
    </xdr:from>
    <xdr:to>
      <xdr:col>4</xdr:col>
      <xdr:colOff>218513</xdr:colOff>
      <xdr:row>208</xdr:row>
      <xdr:rowOff>110941</xdr:rowOff>
    </xdr:to>
    <xdr:sp macro="" textlink="">
      <xdr:nvSpPr>
        <xdr:cNvPr id="20" name="Freccia in giù 19"/>
        <xdr:cNvSpPr/>
      </xdr:nvSpPr>
      <xdr:spPr>
        <a:xfrm rot="19039279">
          <a:off x="8231279" y="51813762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206</xdr:row>
      <xdr:rowOff>76200</xdr:rowOff>
    </xdr:from>
    <xdr:to>
      <xdr:col>5</xdr:col>
      <xdr:colOff>200025</xdr:colOff>
      <xdr:row>208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703276</xdr:colOff>
      <xdr:row>205</xdr:row>
      <xdr:rowOff>4354</xdr:rowOff>
    </xdr:from>
    <xdr:ext cx="1002710" cy="311496"/>
    <xdr:sp macro="" textlink="">
      <xdr:nvSpPr>
        <xdr:cNvPr id="23" name="Rettangolo 22"/>
        <xdr:cNvSpPr/>
      </xdr:nvSpPr>
      <xdr:spPr>
        <a:xfrm>
          <a:off x="8401717" y="51573825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2442521</xdr:colOff>
      <xdr:row>206</xdr:row>
      <xdr:rowOff>123263</xdr:rowOff>
    </xdr:from>
    <xdr:to>
      <xdr:col>1</xdr:col>
      <xdr:colOff>3225136</xdr:colOff>
      <xdr:row>209</xdr:row>
      <xdr:rowOff>257735</xdr:rowOff>
    </xdr:to>
    <xdr:pic>
      <xdr:nvPicPr>
        <xdr:cNvPr id="26" name="Immagine 25" descr="folder documents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2521" y="39780881"/>
          <a:ext cx="782615" cy="784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784411</xdr:colOff>
      <xdr:row>223</xdr:row>
      <xdr:rowOff>67219</xdr:rowOff>
    </xdr:from>
    <xdr:to>
      <xdr:col>13</xdr:col>
      <xdr:colOff>647293</xdr:colOff>
      <xdr:row>239</xdr:row>
      <xdr:rowOff>146455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750797</xdr:colOff>
      <xdr:row>223</xdr:row>
      <xdr:rowOff>67219</xdr:rowOff>
    </xdr:from>
    <xdr:to>
      <xdr:col>19</xdr:col>
      <xdr:colOff>748150</xdr:colOff>
      <xdr:row>239</xdr:row>
      <xdr:rowOff>146455</xdr:rowOff>
    </xdr:to>
    <xdr:graphicFrame macro="">
      <xdr:nvGraphicFramePr>
        <xdr:cNvPr id="8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851655</xdr:colOff>
      <xdr:row>223</xdr:row>
      <xdr:rowOff>67219</xdr:rowOff>
    </xdr:from>
    <xdr:to>
      <xdr:col>25</xdr:col>
      <xdr:colOff>692126</xdr:colOff>
      <xdr:row>239</xdr:row>
      <xdr:rowOff>146455</xdr:rowOff>
    </xdr:to>
    <xdr:graphicFrame macro="">
      <xdr:nvGraphicFramePr>
        <xdr:cNvPr id="9" name="Gra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784411</xdr:colOff>
      <xdr:row>206</xdr:row>
      <xdr:rowOff>89646</xdr:rowOff>
    </xdr:from>
    <xdr:to>
      <xdr:col>13</xdr:col>
      <xdr:colOff>647293</xdr:colOff>
      <xdr:row>222</xdr:row>
      <xdr:rowOff>793</xdr:rowOff>
    </xdr:to>
    <xdr:graphicFrame macro="">
      <xdr:nvGraphicFramePr>
        <xdr:cNvPr id="10" name="Gra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750797</xdr:colOff>
      <xdr:row>206</xdr:row>
      <xdr:rowOff>89646</xdr:rowOff>
    </xdr:from>
    <xdr:to>
      <xdr:col>19</xdr:col>
      <xdr:colOff>748150</xdr:colOff>
      <xdr:row>222</xdr:row>
      <xdr:rowOff>793</xdr:rowOff>
    </xdr:to>
    <xdr:graphicFrame macro="">
      <xdr:nvGraphicFramePr>
        <xdr:cNvPr id="11" name="Gra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784411</xdr:colOff>
      <xdr:row>241</xdr:row>
      <xdr:rowOff>135579</xdr:rowOff>
    </xdr:from>
    <xdr:to>
      <xdr:col>13</xdr:col>
      <xdr:colOff>647293</xdr:colOff>
      <xdr:row>257</xdr:row>
      <xdr:rowOff>78434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750797</xdr:colOff>
      <xdr:row>241</xdr:row>
      <xdr:rowOff>135579</xdr:rowOff>
    </xdr:from>
    <xdr:to>
      <xdr:col>19</xdr:col>
      <xdr:colOff>748150</xdr:colOff>
      <xdr:row>257</xdr:row>
      <xdr:rowOff>78434</xdr:rowOff>
    </xdr:to>
    <xdr:graphicFrame macro="">
      <xdr:nvGraphicFramePr>
        <xdr:cNvPr id="13" name="Gra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851655</xdr:colOff>
      <xdr:row>241</xdr:row>
      <xdr:rowOff>135579</xdr:rowOff>
    </xdr:from>
    <xdr:to>
      <xdr:col>25</xdr:col>
      <xdr:colOff>692126</xdr:colOff>
      <xdr:row>257</xdr:row>
      <xdr:rowOff>78434</xdr:rowOff>
    </xdr:to>
    <xdr:graphicFrame macro="">
      <xdr:nvGraphicFramePr>
        <xdr:cNvPr id="14" name="Gra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44822</xdr:colOff>
      <xdr:row>412</xdr:row>
      <xdr:rowOff>67168</xdr:rowOff>
    </xdr:from>
    <xdr:to>
      <xdr:col>16</xdr:col>
      <xdr:colOff>392205</xdr:colOff>
      <xdr:row>441</xdr:row>
      <xdr:rowOff>67168</xdr:rowOff>
    </xdr:to>
    <xdr:sp macro="" textlink="$B$414">
      <xdr:nvSpPr>
        <xdr:cNvPr id="15" name="Rettangolo 14"/>
        <xdr:cNvSpPr/>
      </xdr:nvSpPr>
      <xdr:spPr>
        <a:xfrm>
          <a:off x="44822" y="50202286"/>
          <a:ext cx="18422471" cy="5524500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C2C35D94-641E-40B1-836A-920151D79D08}" type="TxLink">
            <a:rPr lang="en-US" sz="1200">
              <a:solidFill>
                <a:srgbClr val="8A7972"/>
              </a:solidFill>
            </a:rPr>
            <a:pPr algn="ctr"/>
            <a:t>INCIDENZA DELLE DONNE LAUREATE PER TIPOLOGIA DI INDIRIZZO ()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0</xdr:col>
      <xdr:colOff>0</xdr:colOff>
      <xdr:row>413</xdr:row>
      <xdr:rowOff>123197</xdr:rowOff>
    </xdr:from>
    <xdr:to>
      <xdr:col>3</xdr:col>
      <xdr:colOff>15618</xdr:colOff>
      <xdr:row>440</xdr:row>
      <xdr:rowOff>37697</xdr:rowOff>
    </xdr:to>
    <xdr:graphicFrame macro="">
      <xdr:nvGraphicFramePr>
        <xdr:cNvPr id="16" name="Grafico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383206</xdr:colOff>
      <xdr:row>413</xdr:row>
      <xdr:rowOff>123197</xdr:rowOff>
    </xdr:from>
    <xdr:to>
      <xdr:col>9</xdr:col>
      <xdr:colOff>472854</xdr:colOff>
      <xdr:row>440</xdr:row>
      <xdr:rowOff>37697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413</xdr:row>
      <xdr:rowOff>123197</xdr:rowOff>
    </xdr:from>
    <xdr:to>
      <xdr:col>16</xdr:col>
      <xdr:colOff>168089</xdr:colOff>
      <xdr:row>440</xdr:row>
      <xdr:rowOff>37697</xdr:rowOff>
    </xdr:to>
    <xdr:graphicFrame macro="">
      <xdr:nvGraphicFramePr>
        <xdr:cNvPr id="18" name="Grafico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8"/>
  <sheetViews>
    <sheetView showGridLines="0" tabSelected="1" topLeftCell="B206" zoomScale="85" zoomScaleNormal="85" workbookViewId="0">
      <selection activeCell="B209" sqref="B209"/>
    </sheetView>
  </sheetViews>
  <sheetFormatPr defaultColWidth="8.5703125" defaultRowHeight="15" x14ac:dyDescent="0.25"/>
  <cols>
    <col min="1" max="1" width="4.140625" style="3" hidden="1" customWidth="1"/>
    <col min="2" max="2" width="92.140625" style="3" customWidth="1"/>
    <col min="3" max="3" width="10.28515625" style="7" customWidth="1"/>
    <col min="4" max="4" width="11.42578125" style="7" customWidth="1"/>
    <col min="5" max="5" width="13.42578125" style="3" bestFit="1" customWidth="1"/>
    <col min="6" max="7" width="14.28515625" style="3" bestFit="1" customWidth="1"/>
    <col min="8" max="8" width="12.28515625" style="3" bestFit="1" customWidth="1"/>
    <col min="9" max="9" width="12.85546875" style="3" bestFit="1" customWidth="1"/>
    <col min="10" max="10" width="12.5703125" style="3" bestFit="1" customWidth="1"/>
    <col min="11" max="12" width="13.42578125" style="3" bestFit="1" customWidth="1"/>
    <col min="13" max="14" width="12.85546875" style="3" bestFit="1" customWidth="1"/>
    <col min="15" max="15" width="11.5703125" style="3" customWidth="1"/>
    <col min="16" max="16" width="13.140625" style="3" bestFit="1" customWidth="1"/>
    <col min="17" max="17" width="12.85546875" style="3" bestFit="1" customWidth="1"/>
    <col min="18" max="18" width="13.42578125" style="3" bestFit="1" customWidth="1"/>
    <col min="19" max="19" width="11.5703125" style="3" customWidth="1"/>
    <col min="20" max="20" width="13.140625" style="3" bestFit="1" customWidth="1"/>
    <col min="21" max="21" width="11.5703125" style="3" customWidth="1"/>
    <col min="22" max="22" width="13.42578125" style="3" bestFit="1" customWidth="1"/>
    <col min="23" max="23" width="13.140625" style="3" bestFit="1" customWidth="1"/>
    <col min="24" max="24" width="12.5703125" style="3" bestFit="1" customWidth="1"/>
    <col min="25" max="25" width="14.140625" style="3" bestFit="1" customWidth="1"/>
    <col min="26" max="26" width="13.140625" style="3" bestFit="1" customWidth="1"/>
    <col min="27" max="27" width="13.42578125" style="3" bestFit="1" customWidth="1"/>
    <col min="28" max="28" width="13.7109375" style="3" bestFit="1" customWidth="1"/>
    <col min="29" max="29" width="13.42578125" style="3" bestFit="1" customWidth="1"/>
    <col min="30" max="30" width="14.7109375" style="3" bestFit="1" customWidth="1"/>
    <col min="31" max="31" width="3" style="3" customWidth="1"/>
    <col min="32" max="32" width="10.5703125" style="6" bestFit="1" customWidth="1"/>
    <col min="33" max="33" width="9" style="3" bestFit="1" customWidth="1"/>
    <col min="34" max="34" width="8.5703125" style="3"/>
    <col min="35" max="35" width="9" style="3" bestFit="1" customWidth="1"/>
    <col min="36" max="36" width="11.5703125" style="3" bestFit="1" customWidth="1"/>
    <col min="37" max="40" width="8.5703125" style="3"/>
    <col min="41" max="41" width="9.28515625" style="3" bestFit="1" customWidth="1"/>
    <col min="42" max="42" width="8.5703125" style="3"/>
    <col min="43" max="43" width="9.28515625" style="3" bestFit="1" customWidth="1"/>
    <col min="44" max="69" width="8.5703125" style="3"/>
    <col min="70" max="73" width="8.5703125" style="3" customWidth="1"/>
    <col min="74" max="256" width="8.5703125" style="3"/>
    <col min="257" max="257" width="25" style="3" customWidth="1"/>
    <col min="258" max="258" width="65.5703125" style="3" customWidth="1"/>
    <col min="259" max="259" width="7.5703125" style="3" customWidth="1"/>
    <col min="260" max="260" width="4.140625" style="3" customWidth="1"/>
    <col min="261" max="280" width="11.5703125" style="3" customWidth="1"/>
    <col min="281" max="284" width="12.7109375" style="3" bestFit="1" customWidth="1"/>
    <col min="285" max="285" width="11.5703125" style="3" customWidth="1"/>
    <col min="286" max="286" width="12.7109375" style="3" bestFit="1" customWidth="1"/>
    <col min="287" max="287" width="3" style="3" customWidth="1"/>
    <col min="288" max="288" width="32.7109375" style="3" customWidth="1"/>
    <col min="289" max="289" width="35.28515625" style="3" customWidth="1"/>
    <col min="290" max="512" width="8.5703125" style="3"/>
    <col min="513" max="513" width="25" style="3" customWidth="1"/>
    <col min="514" max="514" width="65.5703125" style="3" customWidth="1"/>
    <col min="515" max="515" width="7.5703125" style="3" customWidth="1"/>
    <col min="516" max="516" width="4.140625" style="3" customWidth="1"/>
    <col min="517" max="536" width="11.5703125" style="3" customWidth="1"/>
    <col min="537" max="540" width="12.7109375" style="3" bestFit="1" customWidth="1"/>
    <col min="541" max="541" width="11.5703125" style="3" customWidth="1"/>
    <col min="542" max="542" width="12.7109375" style="3" bestFit="1" customWidth="1"/>
    <col min="543" max="543" width="3" style="3" customWidth="1"/>
    <col min="544" max="544" width="32.7109375" style="3" customWidth="1"/>
    <col min="545" max="545" width="35.28515625" style="3" customWidth="1"/>
    <col min="546" max="768" width="8.5703125" style="3"/>
    <col min="769" max="769" width="25" style="3" customWidth="1"/>
    <col min="770" max="770" width="65.5703125" style="3" customWidth="1"/>
    <col min="771" max="771" width="7.5703125" style="3" customWidth="1"/>
    <col min="772" max="772" width="4.140625" style="3" customWidth="1"/>
    <col min="773" max="792" width="11.5703125" style="3" customWidth="1"/>
    <col min="793" max="796" width="12.7109375" style="3" bestFit="1" customWidth="1"/>
    <col min="797" max="797" width="11.5703125" style="3" customWidth="1"/>
    <col min="798" max="798" width="12.7109375" style="3" bestFit="1" customWidth="1"/>
    <col min="799" max="799" width="3" style="3" customWidth="1"/>
    <col min="800" max="800" width="32.7109375" style="3" customWidth="1"/>
    <col min="801" max="801" width="35.28515625" style="3" customWidth="1"/>
    <col min="802" max="1024" width="8.5703125" style="3"/>
    <col min="1025" max="1025" width="25" style="3" customWidth="1"/>
    <col min="1026" max="1026" width="65.5703125" style="3" customWidth="1"/>
    <col min="1027" max="1027" width="7.5703125" style="3" customWidth="1"/>
    <col min="1028" max="1028" width="4.140625" style="3" customWidth="1"/>
    <col min="1029" max="1048" width="11.5703125" style="3" customWidth="1"/>
    <col min="1049" max="1052" width="12.7109375" style="3" bestFit="1" customWidth="1"/>
    <col min="1053" max="1053" width="11.5703125" style="3" customWidth="1"/>
    <col min="1054" max="1054" width="12.7109375" style="3" bestFit="1" customWidth="1"/>
    <col min="1055" max="1055" width="3" style="3" customWidth="1"/>
    <col min="1056" max="1056" width="32.7109375" style="3" customWidth="1"/>
    <col min="1057" max="1057" width="35.28515625" style="3" customWidth="1"/>
    <col min="1058" max="1280" width="8.5703125" style="3"/>
    <col min="1281" max="1281" width="25" style="3" customWidth="1"/>
    <col min="1282" max="1282" width="65.5703125" style="3" customWidth="1"/>
    <col min="1283" max="1283" width="7.5703125" style="3" customWidth="1"/>
    <col min="1284" max="1284" width="4.140625" style="3" customWidth="1"/>
    <col min="1285" max="1304" width="11.5703125" style="3" customWidth="1"/>
    <col min="1305" max="1308" width="12.7109375" style="3" bestFit="1" customWidth="1"/>
    <col min="1309" max="1309" width="11.5703125" style="3" customWidth="1"/>
    <col min="1310" max="1310" width="12.7109375" style="3" bestFit="1" customWidth="1"/>
    <col min="1311" max="1311" width="3" style="3" customWidth="1"/>
    <col min="1312" max="1312" width="32.7109375" style="3" customWidth="1"/>
    <col min="1313" max="1313" width="35.28515625" style="3" customWidth="1"/>
    <col min="1314" max="1536" width="8.5703125" style="3"/>
    <col min="1537" max="1537" width="25" style="3" customWidth="1"/>
    <col min="1538" max="1538" width="65.5703125" style="3" customWidth="1"/>
    <col min="1539" max="1539" width="7.5703125" style="3" customWidth="1"/>
    <col min="1540" max="1540" width="4.140625" style="3" customWidth="1"/>
    <col min="1541" max="1560" width="11.5703125" style="3" customWidth="1"/>
    <col min="1561" max="1564" width="12.7109375" style="3" bestFit="1" customWidth="1"/>
    <col min="1565" max="1565" width="11.5703125" style="3" customWidth="1"/>
    <col min="1566" max="1566" width="12.7109375" style="3" bestFit="1" customWidth="1"/>
    <col min="1567" max="1567" width="3" style="3" customWidth="1"/>
    <col min="1568" max="1568" width="32.7109375" style="3" customWidth="1"/>
    <col min="1569" max="1569" width="35.28515625" style="3" customWidth="1"/>
    <col min="1570" max="1792" width="8.5703125" style="3"/>
    <col min="1793" max="1793" width="25" style="3" customWidth="1"/>
    <col min="1794" max="1794" width="65.5703125" style="3" customWidth="1"/>
    <col min="1795" max="1795" width="7.5703125" style="3" customWidth="1"/>
    <col min="1796" max="1796" width="4.140625" style="3" customWidth="1"/>
    <col min="1797" max="1816" width="11.5703125" style="3" customWidth="1"/>
    <col min="1817" max="1820" width="12.7109375" style="3" bestFit="1" customWidth="1"/>
    <col min="1821" max="1821" width="11.5703125" style="3" customWidth="1"/>
    <col min="1822" max="1822" width="12.7109375" style="3" bestFit="1" customWidth="1"/>
    <col min="1823" max="1823" width="3" style="3" customWidth="1"/>
    <col min="1824" max="1824" width="32.7109375" style="3" customWidth="1"/>
    <col min="1825" max="1825" width="35.28515625" style="3" customWidth="1"/>
    <col min="1826" max="2048" width="8.5703125" style="3"/>
    <col min="2049" max="2049" width="25" style="3" customWidth="1"/>
    <col min="2050" max="2050" width="65.5703125" style="3" customWidth="1"/>
    <col min="2051" max="2051" width="7.5703125" style="3" customWidth="1"/>
    <col min="2052" max="2052" width="4.140625" style="3" customWidth="1"/>
    <col min="2053" max="2072" width="11.5703125" style="3" customWidth="1"/>
    <col min="2073" max="2076" width="12.7109375" style="3" bestFit="1" customWidth="1"/>
    <col min="2077" max="2077" width="11.5703125" style="3" customWidth="1"/>
    <col min="2078" max="2078" width="12.7109375" style="3" bestFit="1" customWidth="1"/>
    <col min="2079" max="2079" width="3" style="3" customWidth="1"/>
    <col min="2080" max="2080" width="32.7109375" style="3" customWidth="1"/>
    <col min="2081" max="2081" width="35.28515625" style="3" customWidth="1"/>
    <col min="2082" max="2304" width="8.5703125" style="3"/>
    <col min="2305" max="2305" width="25" style="3" customWidth="1"/>
    <col min="2306" max="2306" width="65.5703125" style="3" customWidth="1"/>
    <col min="2307" max="2307" width="7.5703125" style="3" customWidth="1"/>
    <col min="2308" max="2308" width="4.140625" style="3" customWidth="1"/>
    <col min="2309" max="2328" width="11.5703125" style="3" customWidth="1"/>
    <col min="2329" max="2332" width="12.7109375" style="3" bestFit="1" customWidth="1"/>
    <col min="2333" max="2333" width="11.5703125" style="3" customWidth="1"/>
    <col min="2334" max="2334" width="12.7109375" style="3" bestFit="1" customWidth="1"/>
    <col min="2335" max="2335" width="3" style="3" customWidth="1"/>
    <col min="2336" max="2336" width="32.7109375" style="3" customWidth="1"/>
    <col min="2337" max="2337" width="35.28515625" style="3" customWidth="1"/>
    <col min="2338" max="2560" width="8.5703125" style="3"/>
    <col min="2561" max="2561" width="25" style="3" customWidth="1"/>
    <col min="2562" max="2562" width="65.5703125" style="3" customWidth="1"/>
    <col min="2563" max="2563" width="7.5703125" style="3" customWidth="1"/>
    <col min="2564" max="2564" width="4.140625" style="3" customWidth="1"/>
    <col min="2565" max="2584" width="11.5703125" style="3" customWidth="1"/>
    <col min="2585" max="2588" width="12.7109375" style="3" bestFit="1" customWidth="1"/>
    <col min="2589" max="2589" width="11.5703125" style="3" customWidth="1"/>
    <col min="2590" max="2590" width="12.7109375" style="3" bestFit="1" customWidth="1"/>
    <col min="2591" max="2591" width="3" style="3" customWidth="1"/>
    <col min="2592" max="2592" width="32.7109375" style="3" customWidth="1"/>
    <col min="2593" max="2593" width="35.28515625" style="3" customWidth="1"/>
    <col min="2594" max="2816" width="8.5703125" style="3"/>
    <col min="2817" max="2817" width="25" style="3" customWidth="1"/>
    <col min="2818" max="2818" width="65.5703125" style="3" customWidth="1"/>
    <col min="2819" max="2819" width="7.5703125" style="3" customWidth="1"/>
    <col min="2820" max="2820" width="4.140625" style="3" customWidth="1"/>
    <col min="2821" max="2840" width="11.5703125" style="3" customWidth="1"/>
    <col min="2841" max="2844" width="12.7109375" style="3" bestFit="1" customWidth="1"/>
    <col min="2845" max="2845" width="11.5703125" style="3" customWidth="1"/>
    <col min="2846" max="2846" width="12.7109375" style="3" bestFit="1" customWidth="1"/>
    <col min="2847" max="2847" width="3" style="3" customWidth="1"/>
    <col min="2848" max="2848" width="32.7109375" style="3" customWidth="1"/>
    <col min="2849" max="2849" width="35.28515625" style="3" customWidth="1"/>
    <col min="2850" max="3072" width="8.5703125" style="3"/>
    <col min="3073" max="3073" width="25" style="3" customWidth="1"/>
    <col min="3074" max="3074" width="65.5703125" style="3" customWidth="1"/>
    <col min="3075" max="3075" width="7.5703125" style="3" customWidth="1"/>
    <col min="3076" max="3076" width="4.140625" style="3" customWidth="1"/>
    <col min="3077" max="3096" width="11.5703125" style="3" customWidth="1"/>
    <col min="3097" max="3100" width="12.7109375" style="3" bestFit="1" customWidth="1"/>
    <col min="3101" max="3101" width="11.5703125" style="3" customWidth="1"/>
    <col min="3102" max="3102" width="12.7109375" style="3" bestFit="1" customWidth="1"/>
    <col min="3103" max="3103" width="3" style="3" customWidth="1"/>
    <col min="3104" max="3104" width="32.7109375" style="3" customWidth="1"/>
    <col min="3105" max="3105" width="35.28515625" style="3" customWidth="1"/>
    <col min="3106" max="3328" width="8.5703125" style="3"/>
    <col min="3329" max="3329" width="25" style="3" customWidth="1"/>
    <col min="3330" max="3330" width="65.5703125" style="3" customWidth="1"/>
    <col min="3331" max="3331" width="7.5703125" style="3" customWidth="1"/>
    <col min="3332" max="3332" width="4.140625" style="3" customWidth="1"/>
    <col min="3333" max="3352" width="11.5703125" style="3" customWidth="1"/>
    <col min="3353" max="3356" width="12.7109375" style="3" bestFit="1" customWidth="1"/>
    <col min="3357" max="3357" width="11.5703125" style="3" customWidth="1"/>
    <col min="3358" max="3358" width="12.7109375" style="3" bestFit="1" customWidth="1"/>
    <col min="3359" max="3359" width="3" style="3" customWidth="1"/>
    <col min="3360" max="3360" width="32.7109375" style="3" customWidth="1"/>
    <col min="3361" max="3361" width="35.28515625" style="3" customWidth="1"/>
    <col min="3362" max="3584" width="8.5703125" style="3"/>
    <col min="3585" max="3585" width="25" style="3" customWidth="1"/>
    <col min="3586" max="3586" width="65.5703125" style="3" customWidth="1"/>
    <col min="3587" max="3587" width="7.5703125" style="3" customWidth="1"/>
    <col min="3588" max="3588" width="4.140625" style="3" customWidth="1"/>
    <col min="3589" max="3608" width="11.5703125" style="3" customWidth="1"/>
    <col min="3609" max="3612" width="12.7109375" style="3" bestFit="1" customWidth="1"/>
    <col min="3613" max="3613" width="11.5703125" style="3" customWidth="1"/>
    <col min="3614" max="3614" width="12.7109375" style="3" bestFit="1" customWidth="1"/>
    <col min="3615" max="3615" width="3" style="3" customWidth="1"/>
    <col min="3616" max="3616" width="32.7109375" style="3" customWidth="1"/>
    <col min="3617" max="3617" width="35.28515625" style="3" customWidth="1"/>
    <col min="3618" max="3840" width="8.5703125" style="3"/>
    <col min="3841" max="3841" width="25" style="3" customWidth="1"/>
    <col min="3842" max="3842" width="65.5703125" style="3" customWidth="1"/>
    <col min="3843" max="3843" width="7.5703125" style="3" customWidth="1"/>
    <col min="3844" max="3844" width="4.140625" style="3" customWidth="1"/>
    <col min="3845" max="3864" width="11.5703125" style="3" customWidth="1"/>
    <col min="3865" max="3868" width="12.7109375" style="3" bestFit="1" customWidth="1"/>
    <col min="3869" max="3869" width="11.5703125" style="3" customWidth="1"/>
    <col min="3870" max="3870" width="12.7109375" style="3" bestFit="1" customWidth="1"/>
    <col min="3871" max="3871" width="3" style="3" customWidth="1"/>
    <col min="3872" max="3872" width="32.7109375" style="3" customWidth="1"/>
    <col min="3873" max="3873" width="35.28515625" style="3" customWidth="1"/>
    <col min="3874" max="4096" width="8.5703125" style="3"/>
    <col min="4097" max="4097" width="25" style="3" customWidth="1"/>
    <col min="4098" max="4098" width="65.5703125" style="3" customWidth="1"/>
    <col min="4099" max="4099" width="7.5703125" style="3" customWidth="1"/>
    <col min="4100" max="4100" width="4.140625" style="3" customWidth="1"/>
    <col min="4101" max="4120" width="11.5703125" style="3" customWidth="1"/>
    <col min="4121" max="4124" width="12.7109375" style="3" bestFit="1" customWidth="1"/>
    <col min="4125" max="4125" width="11.5703125" style="3" customWidth="1"/>
    <col min="4126" max="4126" width="12.7109375" style="3" bestFit="1" customWidth="1"/>
    <col min="4127" max="4127" width="3" style="3" customWidth="1"/>
    <col min="4128" max="4128" width="32.7109375" style="3" customWidth="1"/>
    <col min="4129" max="4129" width="35.28515625" style="3" customWidth="1"/>
    <col min="4130" max="4352" width="8.5703125" style="3"/>
    <col min="4353" max="4353" width="25" style="3" customWidth="1"/>
    <col min="4354" max="4354" width="65.5703125" style="3" customWidth="1"/>
    <col min="4355" max="4355" width="7.5703125" style="3" customWidth="1"/>
    <col min="4356" max="4356" width="4.140625" style="3" customWidth="1"/>
    <col min="4357" max="4376" width="11.5703125" style="3" customWidth="1"/>
    <col min="4377" max="4380" width="12.7109375" style="3" bestFit="1" customWidth="1"/>
    <col min="4381" max="4381" width="11.5703125" style="3" customWidth="1"/>
    <col min="4382" max="4382" width="12.7109375" style="3" bestFit="1" customWidth="1"/>
    <col min="4383" max="4383" width="3" style="3" customWidth="1"/>
    <col min="4384" max="4384" width="32.7109375" style="3" customWidth="1"/>
    <col min="4385" max="4385" width="35.28515625" style="3" customWidth="1"/>
    <col min="4386" max="4608" width="8.5703125" style="3"/>
    <col min="4609" max="4609" width="25" style="3" customWidth="1"/>
    <col min="4610" max="4610" width="65.5703125" style="3" customWidth="1"/>
    <col min="4611" max="4611" width="7.5703125" style="3" customWidth="1"/>
    <col min="4612" max="4612" width="4.140625" style="3" customWidth="1"/>
    <col min="4613" max="4632" width="11.5703125" style="3" customWidth="1"/>
    <col min="4633" max="4636" width="12.7109375" style="3" bestFit="1" customWidth="1"/>
    <col min="4637" max="4637" width="11.5703125" style="3" customWidth="1"/>
    <col min="4638" max="4638" width="12.7109375" style="3" bestFit="1" customWidth="1"/>
    <col min="4639" max="4639" width="3" style="3" customWidth="1"/>
    <col min="4640" max="4640" width="32.7109375" style="3" customWidth="1"/>
    <col min="4641" max="4641" width="35.28515625" style="3" customWidth="1"/>
    <col min="4642" max="4864" width="8.5703125" style="3"/>
    <col min="4865" max="4865" width="25" style="3" customWidth="1"/>
    <col min="4866" max="4866" width="65.5703125" style="3" customWidth="1"/>
    <col min="4867" max="4867" width="7.5703125" style="3" customWidth="1"/>
    <col min="4868" max="4868" width="4.140625" style="3" customWidth="1"/>
    <col min="4869" max="4888" width="11.5703125" style="3" customWidth="1"/>
    <col min="4889" max="4892" width="12.7109375" style="3" bestFit="1" customWidth="1"/>
    <col min="4893" max="4893" width="11.5703125" style="3" customWidth="1"/>
    <col min="4894" max="4894" width="12.7109375" style="3" bestFit="1" customWidth="1"/>
    <col min="4895" max="4895" width="3" style="3" customWidth="1"/>
    <col min="4896" max="4896" width="32.7109375" style="3" customWidth="1"/>
    <col min="4897" max="4897" width="35.28515625" style="3" customWidth="1"/>
    <col min="4898" max="5120" width="8.5703125" style="3"/>
    <col min="5121" max="5121" width="25" style="3" customWidth="1"/>
    <col min="5122" max="5122" width="65.5703125" style="3" customWidth="1"/>
    <col min="5123" max="5123" width="7.5703125" style="3" customWidth="1"/>
    <col min="5124" max="5124" width="4.140625" style="3" customWidth="1"/>
    <col min="5125" max="5144" width="11.5703125" style="3" customWidth="1"/>
    <col min="5145" max="5148" width="12.7109375" style="3" bestFit="1" customWidth="1"/>
    <col min="5149" max="5149" width="11.5703125" style="3" customWidth="1"/>
    <col min="5150" max="5150" width="12.7109375" style="3" bestFit="1" customWidth="1"/>
    <col min="5151" max="5151" width="3" style="3" customWidth="1"/>
    <col min="5152" max="5152" width="32.7109375" style="3" customWidth="1"/>
    <col min="5153" max="5153" width="35.28515625" style="3" customWidth="1"/>
    <col min="5154" max="5376" width="8.5703125" style="3"/>
    <col min="5377" max="5377" width="25" style="3" customWidth="1"/>
    <col min="5378" max="5378" width="65.5703125" style="3" customWidth="1"/>
    <col min="5379" max="5379" width="7.5703125" style="3" customWidth="1"/>
    <col min="5380" max="5380" width="4.140625" style="3" customWidth="1"/>
    <col min="5381" max="5400" width="11.5703125" style="3" customWidth="1"/>
    <col min="5401" max="5404" width="12.7109375" style="3" bestFit="1" customWidth="1"/>
    <col min="5405" max="5405" width="11.5703125" style="3" customWidth="1"/>
    <col min="5406" max="5406" width="12.7109375" style="3" bestFit="1" customWidth="1"/>
    <col min="5407" max="5407" width="3" style="3" customWidth="1"/>
    <col min="5408" max="5408" width="32.7109375" style="3" customWidth="1"/>
    <col min="5409" max="5409" width="35.28515625" style="3" customWidth="1"/>
    <col min="5410" max="5632" width="8.5703125" style="3"/>
    <col min="5633" max="5633" width="25" style="3" customWidth="1"/>
    <col min="5634" max="5634" width="65.5703125" style="3" customWidth="1"/>
    <col min="5635" max="5635" width="7.5703125" style="3" customWidth="1"/>
    <col min="5636" max="5636" width="4.140625" style="3" customWidth="1"/>
    <col min="5637" max="5656" width="11.5703125" style="3" customWidth="1"/>
    <col min="5657" max="5660" width="12.7109375" style="3" bestFit="1" customWidth="1"/>
    <col min="5661" max="5661" width="11.5703125" style="3" customWidth="1"/>
    <col min="5662" max="5662" width="12.7109375" style="3" bestFit="1" customWidth="1"/>
    <col min="5663" max="5663" width="3" style="3" customWidth="1"/>
    <col min="5664" max="5664" width="32.7109375" style="3" customWidth="1"/>
    <col min="5665" max="5665" width="35.28515625" style="3" customWidth="1"/>
    <col min="5666" max="5888" width="8.5703125" style="3"/>
    <col min="5889" max="5889" width="25" style="3" customWidth="1"/>
    <col min="5890" max="5890" width="65.5703125" style="3" customWidth="1"/>
    <col min="5891" max="5891" width="7.5703125" style="3" customWidth="1"/>
    <col min="5892" max="5892" width="4.140625" style="3" customWidth="1"/>
    <col min="5893" max="5912" width="11.5703125" style="3" customWidth="1"/>
    <col min="5913" max="5916" width="12.7109375" style="3" bestFit="1" customWidth="1"/>
    <col min="5917" max="5917" width="11.5703125" style="3" customWidth="1"/>
    <col min="5918" max="5918" width="12.7109375" style="3" bestFit="1" customWidth="1"/>
    <col min="5919" max="5919" width="3" style="3" customWidth="1"/>
    <col min="5920" max="5920" width="32.7109375" style="3" customWidth="1"/>
    <col min="5921" max="5921" width="35.28515625" style="3" customWidth="1"/>
    <col min="5922" max="6144" width="8.5703125" style="3"/>
    <col min="6145" max="6145" width="25" style="3" customWidth="1"/>
    <col min="6146" max="6146" width="65.5703125" style="3" customWidth="1"/>
    <col min="6147" max="6147" width="7.5703125" style="3" customWidth="1"/>
    <col min="6148" max="6148" width="4.140625" style="3" customWidth="1"/>
    <col min="6149" max="6168" width="11.5703125" style="3" customWidth="1"/>
    <col min="6169" max="6172" width="12.7109375" style="3" bestFit="1" customWidth="1"/>
    <col min="6173" max="6173" width="11.5703125" style="3" customWidth="1"/>
    <col min="6174" max="6174" width="12.7109375" style="3" bestFit="1" customWidth="1"/>
    <col min="6175" max="6175" width="3" style="3" customWidth="1"/>
    <col min="6176" max="6176" width="32.7109375" style="3" customWidth="1"/>
    <col min="6177" max="6177" width="35.28515625" style="3" customWidth="1"/>
    <col min="6178" max="6400" width="8.5703125" style="3"/>
    <col min="6401" max="6401" width="25" style="3" customWidth="1"/>
    <col min="6402" max="6402" width="65.5703125" style="3" customWidth="1"/>
    <col min="6403" max="6403" width="7.5703125" style="3" customWidth="1"/>
    <col min="6404" max="6404" width="4.140625" style="3" customWidth="1"/>
    <col min="6405" max="6424" width="11.5703125" style="3" customWidth="1"/>
    <col min="6425" max="6428" width="12.7109375" style="3" bestFit="1" customWidth="1"/>
    <col min="6429" max="6429" width="11.5703125" style="3" customWidth="1"/>
    <col min="6430" max="6430" width="12.7109375" style="3" bestFit="1" customWidth="1"/>
    <col min="6431" max="6431" width="3" style="3" customWidth="1"/>
    <col min="6432" max="6432" width="32.7109375" style="3" customWidth="1"/>
    <col min="6433" max="6433" width="35.28515625" style="3" customWidth="1"/>
    <col min="6434" max="6656" width="8.5703125" style="3"/>
    <col min="6657" max="6657" width="25" style="3" customWidth="1"/>
    <col min="6658" max="6658" width="65.5703125" style="3" customWidth="1"/>
    <col min="6659" max="6659" width="7.5703125" style="3" customWidth="1"/>
    <col min="6660" max="6660" width="4.140625" style="3" customWidth="1"/>
    <col min="6661" max="6680" width="11.5703125" style="3" customWidth="1"/>
    <col min="6681" max="6684" width="12.7109375" style="3" bestFit="1" customWidth="1"/>
    <col min="6685" max="6685" width="11.5703125" style="3" customWidth="1"/>
    <col min="6686" max="6686" width="12.7109375" style="3" bestFit="1" customWidth="1"/>
    <col min="6687" max="6687" width="3" style="3" customWidth="1"/>
    <col min="6688" max="6688" width="32.7109375" style="3" customWidth="1"/>
    <col min="6689" max="6689" width="35.28515625" style="3" customWidth="1"/>
    <col min="6690" max="6912" width="8.5703125" style="3"/>
    <col min="6913" max="6913" width="25" style="3" customWidth="1"/>
    <col min="6914" max="6914" width="65.5703125" style="3" customWidth="1"/>
    <col min="6915" max="6915" width="7.5703125" style="3" customWidth="1"/>
    <col min="6916" max="6916" width="4.140625" style="3" customWidth="1"/>
    <col min="6917" max="6936" width="11.5703125" style="3" customWidth="1"/>
    <col min="6937" max="6940" width="12.7109375" style="3" bestFit="1" customWidth="1"/>
    <col min="6941" max="6941" width="11.5703125" style="3" customWidth="1"/>
    <col min="6942" max="6942" width="12.7109375" style="3" bestFit="1" customWidth="1"/>
    <col min="6943" max="6943" width="3" style="3" customWidth="1"/>
    <col min="6944" max="6944" width="32.7109375" style="3" customWidth="1"/>
    <col min="6945" max="6945" width="35.28515625" style="3" customWidth="1"/>
    <col min="6946" max="7168" width="8.5703125" style="3"/>
    <col min="7169" max="7169" width="25" style="3" customWidth="1"/>
    <col min="7170" max="7170" width="65.5703125" style="3" customWidth="1"/>
    <col min="7171" max="7171" width="7.5703125" style="3" customWidth="1"/>
    <col min="7172" max="7172" width="4.140625" style="3" customWidth="1"/>
    <col min="7173" max="7192" width="11.5703125" style="3" customWidth="1"/>
    <col min="7193" max="7196" width="12.7109375" style="3" bestFit="1" customWidth="1"/>
    <col min="7197" max="7197" width="11.5703125" style="3" customWidth="1"/>
    <col min="7198" max="7198" width="12.7109375" style="3" bestFit="1" customWidth="1"/>
    <col min="7199" max="7199" width="3" style="3" customWidth="1"/>
    <col min="7200" max="7200" width="32.7109375" style="3" customWidth="1"/>
    <col min="7201" max="7201" width="35.28515625" style="3" customWidth="1"/>
    <col min="7202" max="7424" width="8.5703125" style="3"/>
    <col min="7425" max="7425" width="25" style="3" customWidth="1"/>
    <col min="7426" max="7426" width="65.5703125" style="3" customWidth="1"/>
    <col min="7427" max="7427" width="7.5703125" style="3" customWidth="1"/>
    <col min="7428" max="7428" width="4.140625" style="3" customWidth="1"/>
    <col min="7429" max="7448" width="11.5703125" style="3" customWidth="1"/>
    <col min="7449" max="7452" width="12.7109375" style="3" bestFit="1" customWidth="1"/>
    <col min="7453" max="7453" width="11.5703125" style="3" customWidth="1"/>
    <col min="7454" max="7454" width="12.7109375" style="3" bestFit="1" customWidth="1"/>
    <col min="7455" max="7455" width="3" style="3" customWidth="1"/>
    <col min="7456" max="7456" width="32.7109375" style="3" customWidth="1"/>
    <col min="7457" max="7457" width="35.28515625" style="3" customWidth="1"/>
    <col min="7458" max="7680" width="8.5703125" style="3"/>
    <col min="7681" max="7681" width="25" style="3" customWidth="1"/>
    <col min="7682" max="7682" width="65.5703125" style="3" customWidth="1"/>
    <col min="7683" max="7683" width="7.5703125" style="3" customWidth="1"/>
    <col min="7684" max="7684" width="4.140625" style="3" customWidth="1"/>
    <col min="7685" max="7704" width="11.5703125" style="3" customWidth="1"/>
    <col min="7705" max="7708" width="12.7109375" style="3" bestFit="1" customWidth="1"/>
    <col min="7709" max="7709" width="11.5703125" style="3" customWidth="1"/>
    <col min="7710" max="7710" width="12.7109375" style="3" bestFit="1" customWidth="1"/>
    <col min="7711" max="7711" width="3" style="3" customWidth="1"/>
    <col min="7712" max="7712" width="32.7109375" style="3" customWidth="1"/>
    <col min="7713" max="7713" width="35.28515625" style="3" customWidth="1"/>
    <col min="7714" max="7936" width="8.5703125" style="3"/>
    <col min="7937" max="7937" width="25" style="3" customWidth="1"/>
    <col min="7938" max="7938" width="65.5703125" style="3" customWidth="1"/>
    <col min="7939" max="7939" width="7.5703125" style="3" customWidth="1"/>
    <col min="7940" max="7940" width="4.140625" style="3" customWidth="1"/>
    <col min="7941" max="7960" width="11.5703125" style="3" customWidth="1"/>
    <col min="7961" max="7964" width="12.7109375" style="3" bestFit="1" customWidth="1"/>
    <col min="7965" max="7965" width="11.5703125" style="3" customWidth="1"/>
    <col min="7966" max="7966" width="12.7109375" style="3" bestFit="1" customWidth="1"/>
    <col min="7967" max="7967" width="3" style="3" customWidth="1"/>
    <col min="7968" max="7968" width="32.7109375" style="3" customWidth="1"/>
    <col min="7969" max="7969" width="35.28515625" style="3" customWidth="1"/>
    <col min="7970" max="8192" width="8.5703125" style="3"/>
    <col min="8193" max="8193" width="25" style="3" customWidth="1"/>
    <col min="8194" max="8194" width="65.5703125" style="3" customWidth="1"/>
    <col min="8195" max="8195" width="7.5703125" style="3" customWidth="1"/>
    <col min="8196" max="8196" width="4.140625" style="3" customWidth="1"/>
    <col min="8197" max="8216" width="11.5703125" style="3" customWidth="1"/>
    <col min="8217" max="8220" width="12.7109375" style="3" bestFit="1" customWidth="1"/>
    <col min="8221" max="8221" width="11.5703125" style="3" customWidth="1"/>
    <col min="8222" max="8222" width="12.7109375" style="3" bestFit="1" customWidth="1"/>
    <col min="8223" max="8223" width="3" style="3" customWidth="1"/>
    <col min="8224" max="8224" width="32.7109375" style="3" customWidth="1"/>
    <col min="8225" max="8225" width="35.28515625" style="3" customWidth="1"/>
    <col min="8226" max="8448" width="8.5703125" style="3"/>
    <col min="8449" max="8449" width="25" style="3" customWidth="1"/>
    <col min="8450" max="8450" width="65.5703125" style="3" customWidth="1"/>
    <col min="8451" max="8451" width="7.5703125" style="3" customWidth="1"/>
    <col min="8452" max="8452" width="4.140625" style="3" customWidth="1"/>
    <col min="8453" max="8472" width="11.5703125" style="3" customWidth="1"/>
    <col min="8473" max="8476" width="12.7109375" style="3" bestFit="1" customWidth="1"/>
    <col min="8477" max="8477" width="11.5703125" style="3" customWidth="1"/>
    <col min="8478" max="8478" width="12.7109375" style="3" bestFit="1" customWidth="1"/>
    <col min="8479" max="8479" width="3" style="3" customWidth="1"/>
    <col min="8480" max="8480" width="32.7109375" style="3" customWidth="1"/>
    <col min="8481" max="8481" width="35.28515625" style="3" customWidth="1"/>
    <col min="8482" max="8704" width="8.5703125" style="3"/>
    <col min="8705" max="8705" width="25" style="3" customWidth="1"/>
    <col min="8706" max="8706" width="65.5703125" style="3" customWidth="1"/>
    <col min="8707" max="8707" width="7.5703125" style="3" customWidth="1"/>
    <col min="8708" max="8708" width="4.140625" style="3" customWidth="1"/>
    <col min="8709" max="8728" width="11.5703125" style="3" customWidth="1"/>
    <col min="8729" max="8732" width="12.7109375" style="3" bestFit="1" customWidth="1"/>
    <col min="8733" max="8733" width="11.5703125" style="3" customWidth="1"/>
    <col min="8734" max="8734" width="12.7109375" style="3" bestFit="1" customWidth="1"/>
    <col min="8735" max="8735" width="3" style="3" customWidth="1"/>
    <col min="8736" max="8736" width="32.7109375" style="3" customWidth="1"/>
    <col min="8737" max="8737" width="35.28515625" style="3" customWidth="1"/>
    <col min="8738" max="8960" width="8.5703125" style="3"/>
    <col min="8961" max="8961" width="25" style="3" customWidth="1"/>
    <col min="8962" max="8962" width="65.5703125" style="3" customWidth="1"/>
    <col min="8963" max="8963" width="7.5703125" style="3" customWidth="1"/>
    <col min="8964" max="8964" width="4.140625" style="3" customWidth="1"/>
    <col min="8965" max="8984" width="11.5703125" style="3" customWidth="1"/>
    <col min="8985" max="8988" width="12.7109375" style="3" bestFit="1" customWidth="1"/>
    <col min="8989" max="8989" width="11.5703125" style="3" customWidth="1"/>
    <col min="8990" max="8990" width="12.7109375" style="3" bestFit="1" customWidth="1"/>
    <col min="8991" max="8991" width="3" style="3" customWidth="1"/>
    <col min="8992" max="8992" width="32.7109375" style="3" customWidth="1"/>
    <col min="8993" max="8993" width="35.28515625" style="3" customWidth="1"/>
    <col min="8994" max="9216" width="8.5703125" style="3"/>
    <col min="9217" max="9217" width="25" style="3" customWidth="1"/>
    <col min="9218" max="9218" width="65.5703125" style="3" customWidth="1"/>
    <col min="9219" max="9219" width="7.5703125" style="3" customWidth="1"/>
    <col min="9220" max="9220" width="4.140625" style="3" customWidth="1"/>
    <col min="9221" max="9240" width="11.5703125" style="3" customWidth="1"/>
    <col min="9241" max="9244" width="12.7109375" style="3" bestFit="1" customWidth="1"/>
    <col min="9245" max="9245" width="11.5703125" style="3" customWidth="1"/>
    <col min="9246" max="9246" width="12.7109375" style="3" bestFit="1" customWidth="1"/>
    <col min="9247" max="9247" width="3" style="3" customWidth="1"/>
    <col min="9248" max="9248" width="32.7109375" style="3" customWidth="1"/>
    <col min="9249" max="9249" width="35.28515625" style="3" customWidth="1"/>
    <col min="9250" max="9472" width="8.5703125" style="3"/>
    <col min="9473" max="9473" width="25" style="3" customWidth="1"/>
    <col min="9474" max="9474" width="65.5703125" style="3" customWidth="1"/>
    <col min="9475" max="9475" width="7.5703125" style="3" customWidth="1"/>
    <col min="9476" max="9476" width="4.140625" style="3" customWidth="1"/>
    <col min="9477" max="9496" width="11.5703125" style="3" customWidth="1"/>
    <col min="9497" max="9500" width="12.7109375" style="3" bestFit="1" customWidth="1"/>
    <col min="9501" max="9501" width="11.5703125" style="3" customWidth="1"/>
    <col min="9502" max="9502" width="12.7109375" style="3" bestFit="1" customWidth="1"/>
    <col min="9503" max="9503" width="3" style="3" customWidth="1"/>
    <col min="9504" max="9504" width="32.7109375" style="3" customWidth="1"/>
    <col min="9505" max="9505" width="35.28515625" style="3" customWidth="1"/>
    <col min="9506" max="9728" width="8.5703125" style="3"/>
    <col min="9729" max="9729" width="25" style="3" customWidth="1"/>
    <col min="9730" max="9730" width="65.5703125" style="3" customWidth="1"/>
    <col min="9731" max="9731" width="7.5703125" style="3" customWidth="1"/>
    <col min="9732" max="9732" width="4.140625" style="3" customWidth="1"/>
    <col min="9733" max="9752" width="11.5703125" style="3" customWidth="1"/>
    <col min="9753" max="9756" width="12.7109375" style="3" bestFit="1" customWidth="1"/>
    <col min="9757" max="9757" width="11.5703125" style="3" customWidth="1"/>
    <col min="9758" max="9758" width="12.7109375" style="3" bestFit="1" customWidth="1"/>
    <col min="9759" max="9759" width="3" style="3" customWidth="1"/>
    <col min="9760" max="9760" width="32.7109375" style="3" customWidth="1"/>
    <col min="9761" max="9761" width="35.28515625" style="3" customWidth="1"/>
    <col min="9762" max="9984" width="8.5703125" style="3"/>
    <col min="9985" max="9985" width="25" style="3" customWidth="1"/>
    <col min="9986" max="9986" width="65.5703125" style="3" customWidth="1"/>
    <col min="9987" max="9987" width="7.5703125" style="3" customWidth="1"/>
    <col min="9988" max="9988" width="4.140625" style="3" customWidth="1"/>
    <col min="9989" max="10008" width="11.5703125" style="3" customWidth="1"/>
    <col min="10009" max="10012" width="12.7109375" style="3" bestFit="1" customWidth="1"/>
    <col min="10013" max="10013" width="11.5703125" style="3" customWidth="1"/>
    <col min="10014" max="10014" width="12.7109375" style="3" bestFit="1" customWidth="1"/>
    <col min="10015" max="10015" width="3" style="3" customWidth="1"/>
    <col min="10016" max="10016" width="32.7109375" style="3" customWidth="1"/>
    <col min="10017" max="10017" width="35.28515625" style="3" customWidth="1"/>
    <col min="10018" max="10240" width="8.5703125" style="3"/>
    <col min="10241" max="10241" width="25" style="3" customWidth="1"/>
    <col min="10242" max="10242" width="65.5703125" style="3" customWidth="1"/>
    <col min="10243" max="10243" width="7.5703125" style="3" customWidth="1"/>
    <col min="10244" max="10244" width="4.140625" style="3" customWidth="1"/>
    <col min="10245" max="10264" width="11.5703125" style="3" customWidth="1"/>
    <col min="10265" max="10268" width="12.7109375" style="3" bestFit="1" customWidth="1"/>
    <col min="10269" max="10269" width="11.5703125" style="3" customWidth="1"/>
    <col min="10270" max="10270" width="12.7109375" style="3" bestFit="1" customWidth="1"/>
    <col min="10271" max="10271" width="3" style="3" customWidth="1"/>
    <col min="10272" max="10272" width="32.7109375" style="3" customWidth="1"/>
    <col min="10273" max="10273" width="35.28515625" style="3" customWidth="1"/>
    <col min="10274" max="10496" width="8.5703125" style="3"/>
    <col min="10497" max="10497" width="25" style="3" customWidth="1"/>
    <col min="10498" max="10498" width="65.5703125" style="3" customWidth="1"/>
    <col min="10499" max="10499" width="7.5703125" style="3" customWidth="1"/>
    <col min="10500" max="10500" width="4.140625" style="3" customWidth="1"/>
    <col min="10501" max="10520" width="11.5703125" style="3" customWidth="1"/>
    <col min="10521" max="10524" width="12.7109375" style="3" bestFit="1" customWidth="1"/>
    <col min="10525" max="10525" width="11.5703125" style="3" customWidth="1"/>
    <col min="10526" max="10526" width="12.7109375" style="3" bestFit="1" customWidth="1"/>
    <col min="10527" max="10527" width="3" style="3" customWidth="1"/>
    <col min="10528" max="10528" width="32.7109375" style="3" customWidth="1"/>
    <col min="10529" max="10529" width="35.28515625" style="3" customWidth="1"/>
    <col min="10530" max="10752" width="8.5703125" style="3"/>
    <col min="10753" max="10753" width="25" style="3" customWidth="1"/>
    <col min="10754" max="10754" width="65.5703125" style="3" customWidth="1"/>
    <col min="10755" max="10755" width="7.5703125" style="3" customWidth="1"/>
    <col min="10756" max="10756" width="4.140625" style="3" customWidth="1"/>
    <col min="10757" max="10776" width="11.5703125" style="3" customWidth="1"/>
    <col min="10777" max="10780" width="12.7109375" style="3" bestFit="1" customWidth="1"/>
    <col min="10781" max="10781" width="11.5703125" style="3" customWidth="1"/>
    <col min="10782" max="10782" width="12.7109375" style="3" bestFit="1" customWidth="1"/>
    <col min="10783" max="10783" width="3" style="3" customWidth="1"/>
    <col min="10784" max="10784" width="32.7109375" style="3" customWidth="1"/>
    <col min="10785" max="10785" width="35.28515625" style="3" customWidth="1"/>
    <col min="10786" max="11008" width="8.5703125" style="3"/>
    <col min="11009" max="11009" width="25" style="3" customWidth="1"/>
    <col min="11010" max="11010" width="65.5703125" style="3" customWidth="1"/>
    <col min="11011" max="11011" width="7.5703125" style="3" customWidth="1"/>
    <col min="11012" max="11012" width="4.140625" style="3" customWidth="1"/>
    <col min="11013" max="11032" width="11.5703125" style="3" customWidth="1"/>
    <col min="11033" max="11036" width="12.7109375" style="3" bestFit="1" customWidth="1"/>
    <col min="11037" max="11037" width="11.5703125" style="3" customWidth="1"/>
    <col min="11038" max="11038" width="12.7109375" style="3" bestFit="1" customWidth="1"/>
    <col min="11039" max="11039" width="3" style="3" customWidth="1"/>
    <col min="11040" max="11040" width="32.7109375" style="3" customWidth="1"/>
    <col min="11041" max="11041" width="35.28515625" style="3" customWidth="1"/>
    <col min="11042" max="11264" width="8.5703125" style="3"/>
    <col min="11265" max="11265" width="25" style="3" customWidth="1"/>
    <col min="11266" max="11266" width="65.5703125" style="3" customWidth="1"/>
    <col min="11267" max="11267" width="7.5703125" style="3" customWidth="1"/>
    <col min="11268" max="11268" width="4.140625" style="3" customWidth="1"/>
    <col min="11269" max="11288" width="11.5703125" style="3" customWidth="1"/>
    <col min="11289" max="11292" width="12.7109375" style="3" bestFit="1" customWidth="1"/>
    <col min="11293" max="11293" width="11.5703125" style="3" customWidth="1"/>
    <col min="11294" max="11294" width="12.7109375" style="3" bestFit="1" customWidth="1"/>
    <col min="11295" max="11295" width="3" style="3" customWidth="1"/>
    <col min="11296" max="11296" width="32.7109375" style="3" customWidth="1"/>
    <col min="11297" max="11297" width="35.28515625" style="3" customWidth="1"/>
    <col min="11298" max="11520" width="8.5703125" style="3"/>
    <col min="11521" max="11521" width="25" style="3" customWidth="1"/>
    <col min="11522" max="11522" width="65.5703125" style="3" customWidth="1"/>
    <col min="11523" max="11523" width="7.5703125" style="3" customWidth="1"/>
    <col min="11524" max="11524" width="4.140625" style="3" customWidth="1"/>
    <col min="11525" max="11544" width="11.5703125" style="3" customWidth="1"/>
    <col min="11545" max="11548" width="12.7109375" style="3" bestFit="1" customWidth="1"/>
    <col min="11549" max="11549" width="11.5703125" style="3" customWidth="1"/>
    <col min="11550" max="11550" width="12.7109375" style="3" bestFit="1" customWidth="1"/>
    <col min="11551" max="11551" width="3" style="3" customWidth="1"/>
    <col min="11552" max="11552" width="32.7109375" style="3" customWidth="1"/>
    <col min="11553" max="11553" width="35.28515625" style="3" customWidth="1"/>
    <col min="11554" max="11776" width="8.5703125" style="3"/>
    <col min="11777" max="11777" width="25" style="3" customWidth="1"/>
    <col min="11778" max="11778" width="65.5703125" style="3" customWidth="1"/>
    <col min="11779" max="11779" width="7.5703125" style="3" customWidth="1"/>
    <col min="11780" max="11780" width="4.140625" style="3" customWidth="1"/>
    <col min="11781" max="11800" width="11.5703125" style="3" customWidth="1"/>
    <col min="11801" max="11804" width="12.7109375" style="3" bestFit="1" customWidth="1"/>
    <col min="11805" max="11805" width="11.5703125" style="3" customWidth="1"/>
    <col min="11806" max="11806" width="12.7109375" style="3" bestFit="1" customWidth="1"/>
    <col min="11807" max="11807" width="3" style="3" customWidth="1"/>
    <col min="11808" max="11808" width="32.7109375" style="3" customWidth="1"/>
    <col min="11809" max="11809" width="35.28515625" style="3" customWidth="1"/>
    <col min="11810" max="12032" width="8.5703125" style="3"/>
    <col min="12033" max="12033" width="25" style="3" customWidth="1"/>
    <col min="12034" max="12034" width="65.5703125" style="3" customWidth="1"/>
    <col min="12035" max="12035" width="7.5703125" style="3" customWidth="1"/>
    <col min="12036" max="12036" width="4.140625" style="3" customWidth="1"/>
    <col min="12037" max="12056" width="11.5703125" style="3" customWidth="1"/>
    <col min="12057" max="12060" width="12.7109375" style="3" bestFit="1" customWidth="1"/>
    <col min="12061" max="12061" width="11.5703125" style="3" customWidth="1"/>
    <col min="12062" max="12062" width="12.7109375" style="3" bestFit="1" customWidth="1"/>
    <col min="12063" max="12063" width="3" style="3" customWidth="1"/>
    <col min="12064" max="12064" width="32.7109375" style="3" customWidth="1"/>
    <col min="12065" max="12065" width="35.28515625" style="3" customWidth="1"/>
    <col min="12066" max="12288" width="8.5703125" style="3"/>
    <col min="12289" max="12289" width="25" style="3" customWidth="1"/>
    <col min="12290" max="12290" width="65.5703125" style="3" customWidth="1"/>
    <col min="12291" max="12291" width="7.5703125" style="3" customWidth="1"/>
    <col min="12292" max="12292" width="4.140625" style="3" customWidth="1"/>
    <col min="12293" max="12312" width="11.5703125" style="3" customWidth="1"/>
    <col min="12313" max="12316" width="12.7109375" style="3" bestFit="1" customWidth="1"/>
    <col min="12317" max="12317" width="11.5703125" style="3" customWidth="1"/>
    <col min="12318" max="12318" width="12.7109375" style="3" bestFit="1" customWidth="1"/>
    <col min="12319" max="12319" width="3" style="3" customWidth="1"/>
    <col min="12320" max="12320" width="32.7109375" style="3" customWidth="1"/>
    <col min="12321" max="12321" width="35.28515625" style="3" customWidth="1"/>
    <col min="12322" max="12544" width="8.5703125" style="3"/>
    <col min="12545" max="12545" width="25" style="3" customWidth="1"/>
    <col min="12546" max="12546" width="65.5703125" style="3" customWidth="1"/>
    <col min="12547" max="12547" width="7.5703125" style="3" customWidth="1"/>
    <col min="12548" max="12548" width="4.140625" style="3" customWidth="1"/>
    <col min="12549" max="12568" width="11.5703125" style="3" customWidth="1"/>
    <col min="12569" max="12572" width="12.7109375" style="3" bestFit="1" customWidth="1"/>
    <col min="12573" max="12573" width="11.5703125" style="3" customWidth="1"/>
    <col min="12574" max="12574" width="12.7109375" style="3" bestFit="1" customWidth="1"/>
    <col min="12575" max="12575" width="3" style="3" customWidth="1"/>
    <col min="12576" max="12576" width="32.7109375" style="3" customWidth="1"/>
    <col min="12577" max="12577" width="35.28515625" style="3" customWidth="1"/>
    <col min="12578" max="12800" width="8.5703125" style="3"/>
    <col min="12801" max="12801" width="25" style="3" customWidth="1"/>
    <col min="12802" max="12802" width="65.5703125" style="3" customWidth="1"/>
    <col min="12803" max="12803" width="7.5703125" style="3" customWidth="1"/>
    <col min="12804" max="12804" width="4.140625" style="3" customWidth="1"/>
    <col min="12805" max="12824" width="11.5703125" style="3" customWidth="1"/>
    <col min="12825" max="12828" width="12.7109375" style="3" bestFit="1" customWidth="1"/>
    <col min="12829" max="12829" width="11.5703125" style="3" customWidth="1"/>
    <col min="12830" max="12830" width="12.7109375" style="3" bestFit="1" customWidth="1"/>
    <col min="12831" max="12831" width="3" style="3" customWidth="1"/>
    <col min="12832" max="12832" width="32.7109375" style="3" customWidth="1"/>
    <col min="12833" max="12833" width="35.28515625" style="3" customWidth="1"/>
    <col min="12834" max="13056" width="8.5703125" style="3"/>
    <col min="13057" max="13057" width="25" style="3" customWidth="1"/>
    <col min="13058" max="13058" width="65.5703125" style="3" customWidth="1"/>
    <col min="13059" max="13059" width="7.5703125" style="3" customWidth="1"/>
    <col min="13060" max="13060" width="4.140625" style="3" customWidth="1"/>
    <col min="13061" max="13080" width="11.5703125" style="3" customWidth="1"/>
    <col min="13081" max="13084" width="12.7109375" style="3" bestFit="1" customWidth="1"/>
    <col min="13085" max="13085" width="11.5703125" style="3" customWidth="1"/>
    <col min="13086" max="13086" width="12.7109375" style="3" bestFit="1" customWidth="1"/>
    <col min="13087" max="13087" width="3" style="3" customWidth="1"/>
    <col min="13088" max="13088" width="32.7109375" style="3" customWidth="1"/>
    <col min="13089" max="13089" width="35.28515625" style="3" customWidth="1"/>
    <col min="13090" max="13312" width="8.5703125" style="3"/>
    <col min="13313" max="13313" width="25" style="3" customWidth="1"/>
    <col min="13314" max="13314" width="65.5703125" style="3" customWidth="1"/>
    <col min="13315" max="13315" width="7.5703125" style="3" customWidth="1"/>
    <col min="13316" max="13316" width="4.140625" style="3" customWidth="1"/>
    <col min="13317" max="13336" width="11.5703125" style="3" customWidth="1"/>
    <col min="13337" max="13340" width="12.7109375" style="3" bestFit="1" customWidth="1"/>
    <col min="13341" max="13341" width="11.5703125" style="3" customWidth="1"/>
    <col min="13342" max="13342" width="12.7109375" style="3" bestFit="1" customWidth="1"/>
    <col min="13343" max="13343" width="3" style="3" customWidth="1"/>
    <col min="13344" max="13344" width="32.7109375" style="3" customWidth="1"/>
    <col min="13345" max="13345" width="35.28515625" style="3" customWidth="1"/>
    <col min="13346" max="13568" width="8.5703125" style="3"/>
    <col min="13569" max="13569" width="25" style="3" customWidth="1"/>
    <col min="13570" max="13570" width="65.5703125" style="3" customWidth="1"/>
    <col min="13571" max="13571" width="7.5703125" style="3" customWidth="1"/>
    <col min="13572" max="13572" width="4.140625" style="3" customWidth="1"/>
    <col min="13573" max="13592" width="11.5703125" style="3" customWidth="1"/>
    <col min="13593" max="13596" width="12.7109375" style="3" bestFit="1" customWidth="1"/>
    <col min="13597" max="13597" width="11.5703125" style="3" customWidth="1"/>
    <col min="13598" max="13598" width="12.7109375" style="3" bestFit="1" customWidth="1"/>
    <col min="13599" max="13599" width="3" style="3" customWidth="1"/>
    <col min="13600" max="13600" width="32.7109375" style="3" customWidth="1"/>
    <col min="13601" max="13601" width="35.28515625" style="3" customWidth="1"/>
    <col min="13602" max="13824" width="8.5703125" style="3"/>
    <col min="13825" max="13825" width="25" style="3" customWidth="1"/>
    <col min="13826" max="13826" width="65.5703125" style="3" customWidth="1"/>
    <col min="13827" max="13827" width="7.5703125" style="3" customWidth="1"/>
    <col min="13828" max="13828" width="4.140625" style="3" customWidth="1"/>
    <col min="13829" max="13848" width="11.5703125" style="3" customWidth="1"/>
    <col min="13849" max="13852" width="12.7109375" style="3" bestFit="1" customWidth="1"/>
    <col min="13853" max="13853" width="11.5703125" style="3" customWidth="1"/>
    <col min="13854" max="13854" width="12.7109375" style="3" bestFit="1" customWidth="1"/>
    <col min="13855" max="13855" width="3" style="3" customWidth="1"/>
    <col min="13856" max="13856" width="32.7109375" style="3" customWidth="1"/>
    <col min="13857" max="13857" width="35.28515625" style="3" customWidth="1"/>
    <col min="13858" max="14080" width="8.5703125" style="3"/>
    <col min="14081" max="14081" width="25" style="3" customWidth="1"/>
    <col min="14082" max="14082" width="65.5703125" style="3" customWidth="1"/>
    <col min="14083" max="14083" width="7.5703125" style="3" customWidth="1"/>
    <col min="14084" max="14084" width="4.140625" style="3" customWidth="1"/>
    <col min="14085" max="14104" width="11.5703125" style="3" customWidth="1"/>
    <col min="14105" max="14108" width="12.7109375" style="3" bestFit="1" customWidth="1"/>
    <col min="14109" max="14109" width="11.5703125" style="3" customWidth="1"/>
    <col min="14110" max="14110" width="12.7109375" style="3" bestFit="1" customWidth="1"/>
    <col min="14111" max="14111" width="3" style="3" customWidth="1"/>
    <col min="14112" max="14112" width="32.7109375" style="3" customWidth="1"/>
    <col min="14113" max="14113" width="35.28515625" style="3" customWidth="1"/>
    <col min="14114" max="14336" width="8.5703125" style="3"/>
    <col min="14337" max="14337" width="25" style="3" customWidth="1"/>
    <col min="14338" max="14338" width="65.5703125" style="3" customWidth="1"/>
    <col min="14339" max="14339" width="7.5703125" style="3" customWidth="1"/>
    <col min="14340" max="14340" width="4.140625" style="3" customWidth="1"/>
    <col min="14341" max="14360" width="11.5703125" style="3" customWidth="1"/>
    <col min="14361" max="14364" width="12.7109375" style="3" bestFit="1" customWidth="1"/>
    <col min="14365" max="14365" width="11.5703125" style="3" customWidth="1"/>
    <col min="14366" max="14366" width="12.7109375" style="3" bestFit="1" customWidth="1"/>
    <col min="14367" max="14367" width="3" style="3" customWidth="1"/>
    <col min="14368" max="14368" width="32.7109375" style="3" customWidth="1"/>
    <col min="14369" max="14369" width="35.28515625" style="3" customWidth="1"/>
    <col min="14370" max="14592" width="8.5703125" style="3"/>
    <col min="14593" max="14593" width="25" style="3" customWidth="1"/>
    <col min="14594" max="14594" width="65.5703125" style="3" customWidth="1"/>
    <col min="14595" max="14595" width="7.5703125" style="3" customWidth="1"/>
    <col min="14596" max="14596" width="4.140625" style="3" customWidth="1"/>
    <col min="14597" max="14616" width="11.5703125" style="3" customWidth="1"/>
    <col min="14617" max="14620" width="12.7109375" style="3" bestFit="1" customWidth="1"/>
    <col min="14621" max="14621" width="11.5703125" style="3" customWidth="1"/>
    <col min="14622" max="14622" width="12.7109375" style="3" bestFit="1" customWidth="1"/>
    <col min="14623" max="14623" width="3" style="3" customWidth="1"/>
    <col min="14624" max="14624" width="32.7109375" style="3" customWidth="1"/>
    <col min="14625" max="14625" width="35.28515625" style="3" customWidth="1"/>
    <col min="14626" max="14848" width="8.5703125" style="3"/>
    <col min="14849" max="14849" width="25" style="3" customWidth="1"/>
    <col min="14850" max="14850" width="65.5703125" style="3" customWidth="1"/>
    <col min="14851" max="14851" width="7.5703125" style="3" customWidth="1"/>
    <col min="14852" max="14852" width="4.140625" style="3" customWidth="1"/>
    <col min="14853" max="14872" width="11.5703125" style="3" customWidth="1"/>
    <col min="14873" max="14876" width="12.7109375" style="3" bestFit="1" customWidth="1"/>
    <col min="14877" max="14877" width="11.5703125" style="3" customWidth="1"/>
    <col min="14878" max="14878" width="12.7109375" style="3" bestFit="1" customWidth="1"/>
    <col min="14879" max="14879" width="3" style="3" customWidth="1"/>
    <col min="14880" max="14880" width="32.7109375" style="3" customWidth="1"/>
    <col min="14881" max="14881" width="35.28515625" style="3" customWidth="1"/>
    <col min="14882" max="15104" width="8.5703125" style="3"/>
    <col min="15105" max="15105" width="25" style="3" customWidth="1"/>
    <col min="15106" max="15106" width="65.5703125" style="3" customWidth="1"/>
    <col min="15107" max="15107" width="7.5703125" style="3" customWidth="1"/>
    <col min="15108" max="15108" width="4.140625" style="3" customWidth="1"/>
    <col min="15109" max="15128" width="11.5703125" style="3" customWidth="1"/>
    <col min="15129" max="15132" width="12.7109375" style="3" bestFit="1" customWidth="1"/>
    <col min="15133" max="15133" width="11.5703125" style="3" customWidth="1"/>
    <col min="15134" max="15134" width="12.7109375" style="3" bestFit="1" customWidth="1"/>
    <col min="15135" max="15135" width="3" style="3" customWidth="1"/>
    <col min="15136" max="15136" width="32.7109375" style="3" customWidth="1"/>
    <col min="15137" max="15137" width="35.28515625" style="3" customWidth="1"/>
    <col min="15138" max="15360" width="8.5703125" style="3"/>
    <col min="15361" max="15361" width="25" style="3" customWidth="1"/>
    <col min="15362" max="15362" width="65.5703125" style="3" customWidth="1"/>
    <col min="15363" max="15363" width="7.5703125" style="3" customWidth="1"/>
    <col min="15364" max="15364" width="4.140625" style="3" customWidth="1"/>
    <col min="15365" max="15384" width="11.5703125" style="3" customWidth="1"/>
    <col min="15385" max="15388" width="12.7109375" style="3" bestFit="1" customWidth="1"/>
    <col min="15389" max="15389" width="11.5703125" style="3" customWidth="1"/>
    <col min="15390" max="15390" width="12.7109375" style="3" bestFit="1" customWidth="1"/>
    <col min="15391" max="15391" width="3" style="3" customWidth="1"/>
    <col min="15392" max="15392" width="32.7109375" style="3" customWidth="1"/>
    <col min="15393" max="15393" width="35.28515625" style="3" customWidth="1"/>
    <col min="15394" max="15616" width="8.5703125" style="3"/>
    <col min="15617" max="15617" width="25" style="3" customWidth="1"/>
    <col min="15618" max="15618" width="65.5703125" style="3" customWidth="1"/>
    <col min="15619" max="15619" width="7.5703125" style="3" customWidth="1"/>
    <col min="15620" max="15620" width="4.140625" style="3" customWidth="1"/>
    <col min="15621" max="15640" width="11.5703125" style="3" customWidth="1"/>
    <col min="15641" max="15644" width="12.7109375" style="3" bestFit="1" customWidth="1"/>
    <col min="15645" max="15645" width="11.5703125" style="3" customWidth="1"/>
    <col min="15646" max="15646" width="12.7109375" style="3" bestFit="1" customWidth="1"/>
    <col min="15647" max="15647" width="3" style="3" customWidth="1"/>
    <col min="15648" max="15648" width="32.7109375" style="3" customWidth="1"/>
    <col min="15649" max="15649" width="35.28515625" style="3" customWidth="1"/>
    <col min="15650" max="15872" width="8.5703125" style="3"/>
    <col min="15873" max="15873" width="25" style="3" customWidth="1"/>
    <col min="15874" max="15874" width="65.5703125" style="3" customWidth="1"/>
    <col min="15875" max="15875" width="7.5703125" style="3" customWidth="1"/>
    <col min="15876" max="15876" width="4.140625" style="3" customWidth="1"/>
    <col min="15877" max="15896" width="11.5703125" style="3" customWidth="1"/>
    <col min="15897" max="15900" width="12.7109375" style="3" bestFit="1" customWidth="1"/>
    <col min="15901" max="15901" width="11.5703125" style="3" customWidth="1"/>
    <col min="15902" max="15902" width="12.7109375" style="3" bestFit="1" customWidth="1"/>
    <col min="15903" max="15903" width="3" style="3" customWidth="1"/>
    <col min="15904" max="15904" width="32.7109375" style="3" customWidth="1"/>
    <col min="15905" max="15905" width="35.28515625" style="3" customWidth="1"/>
    <col min="15906" max="16128" width="8.5703125" style="3"/>
    <col min="16129" max="16129" width="25" style="3" customWidth="1"/>
    <col min="16130" max="16130" width="65.5703125" style="3" customWidth="1"/>
    <col min="16131" max="16131" width="7.5703125" style="3" customWidth="1"/>
    <col min="16132" max="16132" width="4.140625" style="3" customWidth="1"/>
    <col min="16133" max="16152" width="11.5703125" style="3" customWidth="1"/>
    <col min="16153" max="16156" width="12.7109375" style="3" bestFit="1" customWidth="1"/>
    <col min="16157" max="16157" width="11.5703125" style="3" customWidth="1"/>
    <col min="16158" max="16158" width="12.7109375" style="3" bestFit="1" customWidth="1"/>
    <col min="16159" max="16159" width="3" style="3" customWidth="1"/>
    <col min="16160" max="16160" width="32.7109375" style="3" customWidth="1"/>
    <col min="16161" max="16161" width="35.28515625" style="3" customWidth="1"/>
    <col min="16162" max="16384" width="8.5703125" style="3"/>
  </cols>
  <sheetData>
    <row r="1" spans="2:45" hidden="1" x14ac:dyDescent="0.25">
      <c r="B1" s="4" t="str">
        <f ca="1">MID(CELL("FILENAME",AF222),FIND("]",CELL("FILENAME",AF222))+1,255)</f>
        <v>Dati</v>
      </c>
      <c r="C1" s="5"/>
      <c r="D1" s="5"/>
    </row>
    <row r="2" spans="2:45" hidden="1" x14ac:dyDescent="0.25">
      <c r="D2" s="5"/>
    </row>
    <row r="3" spans="2:45" ht="22.5" hidden="1" x14ac:dyDescent="0.25">
      <c r="C3" s="27" t="s">
        <v>33</v>
      </c>
      <c r="D3" s="27" t="s">
        <v>34</v>
      </c>
      <c r="E3" s="8" t="s">
        <v>0</v>
      </c>
      <c r="F3" s="8" t="s">
        <v>1</v>
      </c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10" t="s">
        <v>18</v>
      </c>
      <c r="X3" s="10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11" t="s">
        <v>25</v>
      </c>
      <c r="AI3" s="12" t="s">
        <v>31</v>
      </c>
      <c r="AJ3" s="12" t="s">
        <v>32</v>
      </c>
    </row>
    <row r="4" spans="2:45" ht="15.75" hidden="1" thickBot="1" x14ac:dyDescent="0.3">
      <c r="D4" s="5"/>
    </row>
    <row r="5" spans="2:45" hidden="1" x14ac:dyDescent="0.25">
      <c r="B5" s="64" t="s">
        <v>37</v>
      </c>
      <c r="C5" s="65"/>
      <c r="D5" s="65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148"/>
      <c r="AC5" s="66"/>
      <c r="AD5" s="66"/>
      <c r="AE5" s="66"/>
      <c r="AH5" s="66"/>
      <c r="AK5" s="66"/>
      <c r="AL5" s="66"/>
      <c r="AM5" s="66"/>
      <c r="AN5" s="66"/>
      <c r="AO5" s="66"/>
      <c r="AP5" s="66"/>
      <c r="AQ5" s="66"/>
      <c r="AR5" s="66"/>
      <c r="AS5" s="66"/>
    </row>
    <row r="6" spans="2:45" hidden="1" x14ac:dyDescent="0.25">
      <c r="B6" s="67" t="s">
        <v>38</v>
      </c>
      <c r="C6" s="68" t="s">
        <v>39</v>
      </c>
      <c r="D6" s="69">
        <v>2010</v>
      </c>
      <c r="E6" s="70">
        <v>2454</v>
      </c>
      <c r="F6" s="70">
        <v>81341</v>
      </c>
      <c r="G6" s="70">
        <v>180648</v>
      </c>
      <c r="H6" s="70">
        <v>28622</v>
      </c>
      <c r="I6" s="70">
        <v>24738</v>
      </c>
      <c r="J6" s="70">
        <v>22516</v>
      </c>
      <c r="K6" s="70">
        <v>96428</v>
      </c>
      <c r="L6" s="70">
        <v>81290</v>
      </c>
      <c r="M6" s="70">
        <v>71357</v>
      </c>
      <c r="N6" s="70">
        <v>34158</v>
      </c>
      <c r="O6" s="70">
        <v>17983</v>
      </c>
      <c r="P6" s="70">
        <v>122037</v>
      </c>
      <c r="Q6" s="70">
        <v>29722</v>
      </c>
      <c r="R6" s="70">
        <v>164860</v>
      </c>
      <c r="S6" s="70">
        <v>7834</v>
      </c>
      <c r="T6" s="70">
        <v>107960</v>
      </c>
      <c r="U6" s="70">
        <v>16172</v>
      </c>
      <c r="V6" s="70">
        <v>53447</v>
      </c>
      <c r="W6" s="70">
        <v>133710</v>
      </c>
      <c r="X6" s="70">
        <v>38823</v>
      </c>
      <c r="Y6" s="70">
        <f>+E6+F6+G6+H6</f>
        <v>293065</v>
      </c>
      <c r="Z6" s="70">
        <f>+I6+J6+K6+L6</f>
        <v>224972</v>
      </c>
      <c r="AA6" s="70">
        <f>+M6+N6+O6+P6</f>
        <v>245535</v>
      </c>
      <c r="AB6" s="70">
        <f>+Q6+R6+S6+T6+U6+V6</f>
        <v>379995</v>
      </c>
      <c r="AC6" s="70">
        <f>+W6+X6</f>
        <v>172533</v>
      </c>
      <c r="AD6" s="70">
        <f>+AS6+AA6+AO6</f>
        <v>1316100</v>
      </c>
      <c r="AE6" s="138"/>
      <c r="AH6" s="66"/>
      <c r="AI6" s="54">
        <f t="shared" ref="AI6:AI54" si="0">MIN(E6:AD6)</f>
        <v>2454</v>
      </c>
      <c r="AJ6" s="54">
        <f t="shared" ref="AJ6:AJ54" si="1">MAX(E6:AD6)</f>
        <v>1316100</v>
      </c>
      <c r="AK6" s="139"/>
      <c r="AL6" s="139"/>
      <c r="AM6" s="139"/>
      <c r="AN6" s="139"/>
      <c r="AO6" s="70">
        <f>+Z6+Y6</f>
        <v>518037</v>
      </c>
      <c r="AP6" s="139"/>
      <c r="AQ6" s="70">
        <v>518037</v>
      </c>
      <c r="AR6" s="139"/>
      <c r="AS6" s="70">
        <f>+Q6+R6+S6+T6+U6+V6+W6+X6</f>
        <v>552528</v>
      </c>
    </row>
    <row r="7" spans="2:45" hidden="1" x14ac:dyDescent="0.25">
      <c r="B7" s="67" t="s">
        <v>40</v>
      </c>
      <c r="C7" s="68" t="s">
        <v>39</v>
      </c>
      <c r="D7" s="69">
        <v>2010</v>
      </c>
      <c r="E7" s="70">
        <f>+E8-E6</f>
        <v>2377</v>
      </c>
      <c r="F7" s="70">
        <f t="shared" ref="F7:X7" si="2">+F8-F6</f>
        <v>81476</v>
      </c>
      <c r="G7" s="70">
        <f t="shared" si="2"/>
        <v>184176</v>
      </c>
      <c r="H7" s="70">
        <f t="shared" si="2"/>
        <v>29614</v>
      </c>
      <c r="I7" s="70">
        <f t="shared" si="2"/>
        <v>22841</v>
      </c>
      <c r="J7" s="70">
        <f t="shared" si="2"/>
        <v>23539</v>
      </c>
      <c r="K7" s="70">
        <f t="shared" si="2"/>
        <v>98883</v>
      </c>
      <c r="L7" s="70">
        <f t="shared" si="2"/>
        <v>85397</v>
      </c>
      <c r="M7" s="70">
        <f t="shared" si="2"/>
        <v>75043</v>
      </c>
      <c r="N7" s="70">
        <f t="shared" si="2"/>
        <v>36059</v>
      </c>
      <c r="O7" s="70">
        <f t="shared" si="2"/>
        <v>19031</v>
      </c>
      <c r="P7" s="70">
        <f t="shared" si="2"/>
        <v>128988</v>
      </c>
      <c r="Q7" s="70">
        <f t="shared" si="2"/>
        <v>32110</v>
      </c>
      <c r="R7" s="70">
        <f t="shared" si="2"/>
        <v>178081</v>
      </c>
      <c r="S7" s="70">
        <f t="shared" si="2"/>
        <v>8339</v>
      </c>
      <c r="T7" s="70">
        <f t="shared" si="2"/>
        <v>113901</v>
      </c>
      <c r="U7" s="70">
        <f t="shared" si="2"/>
        <v>17192</v>
      </c>
      <c r="V7" s="70">
        <f t="shared" si="2"/>
        <v>56482</v>
      </c>
      <c r="W7" s="70">
        <f t="shared" si="2"/>
        <v>137572</v>
      </c>
      <c r="X7" s="70">
        <f t="shared" si="2"/>
        <v>39895</v>
      </c>
      <c r="Y7" s="70">
        <f>+Y8-Y6</f>
        <v>297643</v>
      </c>
      <c r="Z7" s="70">
        <f t="shared" ref="Z7:AD7" si="3">+Z8-Z6</f>
        <v>230660</v>
      </c>
      <c r="AA7" s="70">
        <f t="shared" si="3"/>
        <v>259121</v>
      </c>
      <c r="AB7" s="70">
        <f t="shared" ref="AB7:AB9" si="4">+Q7+R7+S7+T7+U7+V7</f>
        <v>406105</v>
      </c>
      <c r="AC7" s="70">
        <f>+W7+X7</f>
        <v>177467</v>
      </c>
      <c r="AD7" s="70">
        <f t="shared" si="3"/>
        <v>1370996</v>
      </c>
      <c r="AE7" s="138"/>
      <c r="AH7" s="66"/>
      <c r="AI7" s="54">
        <f t="shared" si="0"/>
        <v>2377</v>
      </c>
      <c r="AJ7" s="54">
        <f t="shared" si="1"/>
        <v>1370996</v>
      </c>
      <c r="AK7" s="139"/>
      <c r="AL7" s="139"/>
      <c r="AM7" s="139"/>
      <c r="AN7" s="139"/>
      <c r="AO7" s="70">
        <f>+AO8-AO6</f>
        <v>528303</v>
      </c>
      <c r="AP7" s="139"/>
      <c r="AQ7" s="70">
        <v>528303</v>
      </c>
      <c r="AR7" s="139"/>
      <c r="AS7" s="70">
        <f>+AS8-AS6</f>
        <v>583572</v>
      </c>
    </row>
    <row r="8" spans="2:45" hidden="1" x14ac:dyDescent="0.25">
      <c r="B8" s="71" t="s">
        <v>41</v>
      </c>
      <c r="C8" s="72" t="s">
        <v>39</v>
      </c>
      <c r="D8" s="73">
        <v>2010</v>
      </c>
      <c r="E8" s="74">
        <v>4831</v>
      </c>
      <c r="F8" s="74">
        <v>162817</v>
      </c>
      <c r="G8" s="74">
        <v>364824</v>
      </c>
      <c r="H8" s="74">
        <v>58236</v>
      </c>
      <c r="I8" s="74">
        <v>47579</v>
      </c>
      <c r="J8" s="74">
        <v>46055</v>
      </c>
      <c r="K8" s="74">
        <v>195311</v>
      </c>
      <c r="L8" s="74">
        <v>166687</v>
      </c>
      <c r="M8" s="74">
        <v>146400</v>
      </c>
      <c r="N8" s="74">
        <v>70217</v>
      </c>
      <c r="O8" s="74">
        <v>37014</v>
      </c>
      <c r="P8" s="74">
        <v>251025</v>
      </c>
      <c r="Q8" s="74">
        <v>61832</v>
      </c>
      <c r="R8" s="74">
        <v>342941</v>
      </c>
      <c r="S8" s="74">
        <v>16173</v>
      </c>
      <c r="T8" s="74">
        <v>221861</v>
      </c>
      <c r="U8" s="74">
        <v>33364</v>
      </c>
      <c r="V8" s="74">
        <v>109929</v>
      </c>
      <c r="W8" s="74">
        <v>271282</v>
      </c>
      <c r="X8" s="74">
        <v>78718</v>
      </c>
      <c r="Y8" s="74">
        <f>+E8+F8+G8+H8</f>
        <v>590708</v>
      </c>
      <c r="Z8" s="74">
        <f>+I8+J8+K8+L8</f>
        <v>455632</v>
      </c>
      <c r="AA8" s="74">
        <f>+M8+N8+O8+P8</f>
        <v>504656</v>
      </c>
      <c r="AB8" s="74">
        <f t="shared" si="4"/>
        <v>786100</v>
      </c>
      <c r="AC8" s="74">
        <f>+W8+X8</f>
        <v>350000</v>
      </c>
      <c r="AD8" s="74">
        <f>+AS8+AA8+AO8</f>
        <v>2687096</v>
      </c>
      <c r="AE8" s="138"/>
      <c r="AH8" s="66"/>
      <c r="AI8" s="54">
        <f t="shared" si="0"/>
        <v>4831</v>
      </c>
      <c r="AJ8" s="54">
        <f t="shared" si="1"/>
        <v>2687096</v>
      </c>
      <c r="AK8" s="139"/>
      <c r="AL8" s="139"/>
      <c r="AM8" s="139"/>
      <c r="AN8" s="139"/>
      <c r="AO8" s="74">
        <f>+Z8+Y8</f>
        <v>1046340</v>
      </c>
      <c r="AP8" s="139"/>
      <c r="AQ8" s="74">
        <v>1046340</v>
      </c>
      <c r="AR8" s="139"/>
      <c r="AS8" s="74">
        <f>+Q8+R8+S8+T8+U8+V8+W8+X8</f>
        <v>1136100</v>
      </c>
    </row>
    <row r="9" spans="2:45" hidden="1" x14ac:dyDescent="0.25">
      <c r="B9" s="75" t="s">
        <v>42</v>
      </c>
      <c r="C9" s="76" t="s">
        <v>43</v>
      </c>
      <c r="D9" s="77">
        <v>2010</v>
      </c>
      <c r="E9" s="78">
        <v>50.796936452080303</v>
      </c>
      <c r="F9" s="78">
        <v>49.958542412647326</v>
      </c>
      <c r="G9" s="78">
        <v>49.516479179001379</v>
      </c>
      <c r="H9" s="78">
        <v>49.148293152002196</v>
      </c>
      <c r="I9" s="78">
        <v>51.993526555833455</v>
      </c>
      <c r="J9" s="78">
        <v>48.889371403756378</v>
      </c>
      <c r="K9" s="78">
        <v>49.371515173236531</v>
      </c>
      <c r="L9" s="78">
        <v>48.768050297863667</v>
      </c>
      <c r="M9" s="78">
        <v>48.74112021857924</v>
      </c>
      <c r="N9" s="78">
        <v>48.646339205605486</v>
      </c>
      <c r="O9" s="78">
        <v>48.584319446695844</v>
      </c>
      <c r="P9" s="78">
        <v>48.615476546160743</v>
      </c>
      <c r="Q9" s="78">
        <v>48.068961055764007</v>
      </c>
      <c r="R9" s="78">
        <v>48.07240895664269</v>
      </c>
      <c r="S9" s="78">
        <v>48.438755951276818</v>
      </c>
      <c r="T9" s="78">
        <v>48.661098615799979</v>
      </c>
      <c r="U9" s="78">
        <v>48.471406306198297</v>
      </c>
      <c r="V9" s="78">
        <v>48.619563536464447</v>
      </c>
      <c r="W9" s="78">
        <v>49.28819457243754</v>
      </c>
      <c r="X9" s="78">
        <v>49.319088391473358</v>
      </c>
      <c r="Y9" s="78">
        <v>49.612498899625535</v>
      </c>
      <c r="Z9" s="78">
        <v>49.375812058854514</v>
      </c>
      <c r="AA9" s="78">
        <v>48.653934561364579</v>
      </c>
      <c r="AB9" s="78">
        <f t="shared" si="4"/>
        <v>290.33219442214624</v>
      </c>
      <c r="AC9" s="78">
        <v>49.295142857142856</v>
      </c>
      <c r="AD9" s="78">
        <v>48.978525516021762</v>
      </c>
      <c r="AE9" s="66"/>
      <c r="AH9" s="66"/>
      <c r="AI9" s="54">
        <f t="shared" si="0"/>
        <v>48.068961055764007</v>
      </c>
      <c r="AJ9" s="54">
        <f t="shared" si="1"/>
        <v>290.33219442214624</v>
      </c>
      <c r="AK9" s="66"/>
      <c r="AL9" s="66"/>
      <c r="AM9" s="66"/>
      <c r="AN9" s="66"/>
      <c r="AO9" s="86">
        <v>49.509432880325704</v>
      </c>
      <c r="AP9" s="66"/>
      <c r="AQ9" s="86">
        <v>49.509432880325704</v>
      </c>
      <c r="AR9" s="66"/>
      <c r="AS9" s="86">
        <v>48.633747029310797</v>
      </c>
    </row>
    <row r="10" spans="2:45" ht="6" hidden="1" customHeight="1" x14ac:dyDescent="0.25">
      <c r="B10" s="79"/>
      <c r="C10" s="80"/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2"/>
      <c r="Y10" s="82"/>
      <c r="Z10" s="82"/>
      <c r="AA10" s="82"/>
      <c r="AB10" s="82"/>
      <c r="AC10" s="82"/>
      <c r="AD10" s="82"/>
      <c r="AE10" s="66"/>
      <c r="AH10" s="66"/>
      <c r="AI10" s="54">
        <f t="shared" si="0"/>
        <v>0</v>
      </c>
      <c r="AJ10" s="54">
        <f t="shared" si="1"/>
        <v>0</v>
      </c>
      <c r="AK10" s="66"/>
      <c r="AL10" s="66"/>
      <c r="AM10" s="66"/>
      <c r="AN10" s="66"/>
      <c r="AO10" s="105"/>
      <c r="AP10" s="66"/>
      <c r="AQ10" s="105"/>
      <c r="AR10" s="66"/>
      <c r="AS10" s="105"/>
    </row>
    <row r="11" spans="2:45" hidden="1" x14ac:dyDescent="0.25">
      <c r="B11" s="67" t="s">
        <v>44</v>
      </c>
      <c r="C11" s="68" t="s">
        <v>39</v>
      </c>
      <c r="D11" s="69">
        <v>2008</v>
      </c>
      <c r="E11" s="83">
        <v>112</v>
      </c>
      <c r="F11" s="83">
        <v>9376</v>
      </c>
      <c r="G11" s="83">
        <v>25999</v>
      </c>
      <c r="H11" s="83">
        <v>3342</v>
      </c>
      <c r="I11" s="83">
        <v>1799</v>
      </c>
      <c r="J11" s="83">
        <v>3595</v>
      </c>
      <c r="K11" s="83">
        <v>12410</v>
      </c>
      <c r="L11" s="83">
        <v>15444</v>
      </c>
      <c r="M11" s="83">
        <v>11587</v>
      </c>
      <c r="N11" s="83">
        <v>4902</v>
      </c>
      <c r="O11" s="83">
        <v>3306</v>
      </c>
      <c r="P11" s="83">
        <v>23352</v>
      </c>
      <c r="Q11" s="83">
        <v>6240</v>
      </c>
      <c r="R11" s="83">
        <v>15930</v>
      </c>
      <c r="S11" s="83">
        <v>953</v>
      </c>
      <c r="T11" s="83">
        <v>9731</v>
      </c>
      <c r="U11" s="83">
        <v>627</v>
      </c>
      <c r="V11" s="83">
        <v>4523</v>
      </c>
      <c r="W11" s="83">
        <v>12941</v>
      </c>
      <c r="X11" s="83">
        <v>3758</v>
      </c>
      <c r="Y11" s="83">
        <f>+E11+F11+G11+H11</f>
        <v>38829</v>
      </c>
      <c r="Z11" s="83">
        <f>+I11+J11+K11+L11</f>
        <v>33248</v>
      </c>
      <c r="AA11" s="83">
        <f>+M11+N11+O11+P11</f>
        <v>43147</v>
      </c>
      <c r="AB11" s="83">
        <f t="shared" ref="AB11:AB12" si="5">+Q11+R11+S11+T11+U11+V11</f>
        <v>38004</v>
      </c>
      <c r="AC11" s="83">
        <f>+W11+X11</f>
        <v>16699</v>
      </c>
      <c r="AD11" s="83">
        <f>+AS11+AA11+AO11</f>
        <v>169927</v>
      </c>
      <c r="AE11" s="140"/>
      <c r="AH11" s="66"/>
      <c r="AI11" s="54">
        <f t="shared" si="0"/>
        <v>112</v>
      </c>
      <c r="AJ11" s="54">
        <f t="shared" si="1"/>
        <v>169927</v>
      </c>
      <c r="AK11" s="66"/>
      <c r="AL11" s="66"/>
      <c r="AM11" s="66"/>
      <c r="AN11" s="66"/>
      <c r="AO11" s="83">
        <f>+Z11+Y11</f>
        <v>72077</v>
      </c>
      <c r="AP11" s="66"/>
      <c r="AQ11" s="83">
        <v>72077</v>
      </c>
      <c r="AR11" s="66"/>
      <c r="AS11" s="83">
        <f>+Q11+R11+S11+T11+U11+V11+W11+X11</f>
        <v>54703</v>
      </c>
    </row>
    <row r="12" spans="2:45" hidden="1" x14ac:dyDescent="0.25">
      <c r="B12" s="67" t="s">
        <v>45</v>
      </c>
      <c r="C12" s="68" t="s">
        <v>39</v>
      </c>
      <c r="D12" s="69">
        <v>2008</v>
      </c>
      <c r="E12" s="83">
        <v>25</v>
      </c>
      <c r="F12" s="83">
        <v>7676</v>
      </c>
      <c r="G12" s="83">
        <v>20582</v>
      </c>
      <c r="H12" s="83">
        <v>2378</v>
      </c>
      <c r="I12" s="83">
        <v>1263</v>
      </c>
      <c r="J12" s="83">
        <v>2565</v>
      </c>
      <c r="K12" s="83">
        <v>7794</v>
      </c>
      <c r="L12" s="83">
        <v>11658</v>
      </c>
      <c r="M12" s="83">
        <v>11613</v>
      </c>
      <c r="N12" s="83">
        <v>3639</v>
      </c>
      <c r="O12" s="83">
        <v>2481</v>
      </c>
      <c r="P12" s="83">
        <v>18302</v>
      </c>
      <c r="Q12" s="83">
        <v>4480</v>
      </c>
      <c r="R12" s="83">
        <v>10956</v>
      </c>
      <c r="S12" s="83">
        <v>679</v>
      </c>
      <c r="T12" s="83">
        <v>5448</v>
      </c>
      <c r="U12" s="83">
        <v>419</v>
      </c>
      <c r="V12" s="83">
        <v>3033</v>
      </c>
      <c r="W12" s="83">
        <v>7959</v>
      </c>
      <c r="X12" s="83">
        <v>2100</v>
      </c>
      <c r="Y12" s="83">
        <f>+E12+F12+G12+H12</f>
        <v>30661</v>
      </c>
      <c r="Z12" s="83">
        <f>+I12+J12+K12+L12</f>
        <v>23280</v>
      </c>
      <c r="AA12" s="83">
        <f>+M12+N12+O12+P12</f>
        <v>36035</v>
      </c>
      <c r="AB12" s="83">
        <f t="shared" si="5"/>
        <v>25015</v>
      </c>
      <c r="AC12" s="83">
        <f>+W12+X12</f>
        <v>10059</v>
      </c>
      <c r="AD12" s="83">
        <f>+AS12+AA12+AO12</f>
        <v>125050</v>
      </c>
      <c r="AE12" s="140"/>
      <c r="AH12" s="66"/>
      <c r="AI12" s="54">
        <f t="shared" si="0"/>
        <v>25</v>
      </c>
      <c r="AJ12" s="54">
        <f t="shared" si="1"/>
        <v>125050</v>
      </c>
      <c r="AK12" s="66"/>
      <c r="AL12" s="66"/>
      <c r="AM12" s="66"/>
      <c r="AN12" s="66"/>
      <c r="AO12" s="83">
        <f>+Z12+Y12</f>
        <v>53941</v>
      </c>
      <c r="AP12" s="66"/>
      <c r="AQ12" s="83">
        <v>53941</v>
      </c>
      <c r="AR12" s="66"/>
      <c r="AS12" s="83">
        <f>+Q12+R12+S12+T12+U12+V12+W12+X12</f>
        <v>35074</v>
      </c>
    </row>
    <row r="13" spans="2:45" hidden="1" x14ac:dyDescent="0.25">
      <c r="B13" s="71" t="s">
        <v>46</v>
      </c>
      <c r="C13" s="72" t="s">
        <v>39</v>
      </c>
      <c r="D13" s="73">
        <v>2008</v>
      </c>
      <c r="E13" s="84">
        <v>137</v>
      </c>
      <c r="F13" s="84">
        <v>17052</v>
      </c>
      <c r="G13" s="84">
        <v>46581</v>
      </c>
      <c r="H13" s="84">
        <v>5720</v>
      </c>
      <c r="I13" s="84">
        <v>3062</v>
      </c>
      <c r="J13" s="84">
        <v>6160</v>
      </c>
      <c r="K13" s="84">
        <v>20204</v>
      </c>
      <c r="L13" s="84">
        <v>27102</v>
      </c>
      <c r="M13" s="84">
        <v>23200</v>
      </c>
      <c r="N13" s="84">
        <v>8541</v>
      </c>
      <c r="O13" s="84">
        <v>5787</v>
      </c>
      <c r="P13" s="84">
        <v>41654</v>
      </c>
      <c r="Q13" s="84">
        <v>10720</v>
      </c>
      <c r="R13" s="84">
        <v>26886</v>
      </c>
      <c r="S13" s="84">
        <v>1632</v>
      </c>
      <c r="T13" s="84">
        <v>15179</v>
      </c>
      <c r="U13" s="84">
        <v>1046</v>
      </c>
      <c r="V13" s="84">
        <v>7556</v>
      </c>
      <c r="W13" s="84">
        <v>20900</v>
      </c>
      <c r="X13" s="84">
        <v>5858</v>
      </c>
      <c r="Y13" s="84">
        <f>+E13+F13+G13+H13</f>
        <v>69490</v>
      </c>
      <c r="Z13" s="84">
        <f>+I13+J13+K13+L13</f>
        <v>56528</v>
      </c>
      <c r="AA13" s="84">
        <f>+M13+N13+O13+P13</f>
        <v>79182</v>
      </c>
      <c r="AB13" s="84">
        <f>+Q13+R13+S13+T13+U13+V13</f>
        <v>63019</v>
      </c>
      <c r="AC13" s="84">
        <f>+W13+X13</f>
        <v>26758</v>
      </c>
      <c r="AD13" s="84">
        <f>+AS13+AA13+AO13</f>
        <v>294977</v>
      </c>
      <c r="AE13" s="140"/>
      <c r="AH13" s="66"/>
      <c r="AI13" s="54">
        <f t="shared" si="0"/>
        <v>137</v>
      </c>
      <c r="AJ13" s="54">
        <f t="shared" si="1"/>
        <v>294977</v>
      </c>
      <c r="AK13" s="66"/>
      <c r="AL13" s="66"/>
      <c r="AM13" s="66"/>
      <c r="AN13" s="66"/>
      <c r="AO13" s="84">
        <f>+Z13+Y13</f>
        <v>126018</v>
      </c>
      <c r="AP13" s="66"/>
      <c r="AQ13" s="84">
        <v>126018</v>
      </c>
      <c r="AR13" s="66"/>
      <c r="AS13" s="84">
        <f>+Q13+R13+S13+T13+U13+V13+W13+X13</f>
        <v>89777</v>
      </c>
    </row>
    <row r="14" spans="2:45" hidden="1" x14ac:dyDescent="0.25">
      <c r="B14" s="75" t="s">
        <v>47</v>
      </c>
      <c r="C14" s="85" t="s">
        <v>43</v>
      </c>
      <c r="D14" s="69">
        <v>2008</v>
      </c>
      <c r="E14" s="86">
        <v>81.751824817518255</v>
      </c>
      <c r="F14" s="86">
        <v>54.984752521698333</v>
      </c>
      <c r="G14" s="86">
        <v>55.81460252034092</v>
      </c>
      <c r="H14" s="86">
        <v>58.426573426573427</v>
      </c>
      <c r="I14" s="86">
        <v>58.752449379490535</v>
      </c>
      <c r="J14" s="86">
        <v>58.360389610389603</v>
      </c>
      <c r="K14" s="86">
        <v>61.423480498911111</v>
      </c>
      <c r="L14" s="86">
        <v>56.984724374584907</v>
      </c>
      <c r="M14" s="86">
        <v>49.943965517241381</v>
      </c>
      <c r="N14" s="86">
        <v>57.393747804706706</v>
      </c>
      <c r="O14" s="86">
        <v>57.128045619491964</v>
      </c>
      <c r="P14" s="86">
        <v>56.061842800211259</v>
      </c>
      <c r="Q14" s="86">
        <v>58.208955223880601</v>
      </c>
      <c r="R14" s="86">
        <v>59.250167373354159</v>
      </c>
      <c r="S14" s="86">
        <v>58.394607843137258</v>
      </c>
      <c r="T14" s="86">
        <v>64.108307530140323</v>
      </c>
      <c r="U14" s="86">
        <v>59.942638623326957</v>
      </c>
      <c r="V14" s="86">
        <v>59.859714134462685</v>
      </c>
      <c r="W14" s="86">
        <v>61.918660287081337</v>
      </c>
      <c r="X14" s="86">
        <v>64.151587572550355</v>
      </c>
      <c r="Y14" s="86">
        <v>55.877104619369689</v>
      </c>
      <c r="Z14" s="86">
        <v>58.816869515992074</v>
      </c>
      <c r="AA14" s="86">
        <v>54.490919653456594</v>
      </c>
      <c r="AB14" s="86">
        <v>60.305622113965626</v>
      </c>
      <c r="AC14" s="86">
        <v>62.4075042977801</v>
      </c>
      <c r="AD14" s="86">
        <v>57.606864263993465</v>
      </c>
      <c r="AE14" s="66"/>
      <c r="AH14" s="66"/>
      <c r="AI14" s="54">
        <f t="shared" si="0"/>
        <v>49.943965517241381</v>
      </c>
      <c r="AJ14" s="54">
        <f t="shared" si="1"/>
        <v>81.751824817518255</v>
      </c>
      <c r="AK14" s="66"/>
      <c r="AL14" s="66"/>
      <c r="AM14" s="66"/>
      <c r="AN14" s="66"/>
      <c r="AO14" s="86">
        <v>57.195797425764574</v>
      </c>
      <c r="AP14" s="66"/>
      <c r="AQ14" s="86">
        <v>57.195797425764574</v>
      </c>
      <c r="AR14" s="66"/>
      <c r="AS14" s="86">
        <v>60.932087282934376</v>
      </c>
    </row>
    <row r="15" spans="2:45" ht="15.75" hidden="1" thickBot="1" x14ac:dyDescent="0.3">
      <c r="B15" s="66"/>
      <c r="C15" s="87"/>
      <c r="D15" s="88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66"/>
      <c r="AF15" s="110"/>
      <c r="AG15" s="111"/>
      <c r="AH15" s="66"/>
      <c r="AI15" s="54">
        <f t="shared" si="0"/>
        <v>0</v>
      </c>
      <c r="AJ15" s="54">
        <f t="shared" si="1"/>
        <v>0</v>
      </c>
      <c r="AK15" s="66"/>
      <c r="AL15" s="66"/>
      <c r="AM15" s="66"/>
      <c r="AN15" s="66"/>
      <c r="AO15" s="89"/>
      <c r="AP15" s="66"/>
      <c r="AQ15" s="89"/>
      <c r="AR15" s="66"/>
      <c r="AS15" s="89"/>
    </row>
    <row r="16" spans="2:45" ht="15.75" hidden="1" thickBot="1" x14ac:dyDescent="0.3">
      <c r="B16" s="90" t="s">
        <v>48</v>
      </c>
      <c r="C16" s="91"/>
      <c r="D16" s="91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66"/>
      <c r="AF16" s="110"/>
      <c r="AG16" s="111"/>
      <c r="AH16" s="66"/>
      <c r="AI16" s="54">
        <f t="shared" si="0"/>
        <v>0</v>
      </c>
      <c r="AJ16" s="54">
        <f t="shared" si="1"/>
        <v>0</v>
      </c>
      <c r="AK16" s="66"/>
      <c r="AL16" s="66"/>
      <c r="AM16" s="66"/>
      <c r="AN16" s="66"/>
      <c r="AO16" s="89"/>
      <c r="AP16" s="66"/>
      <c r="AQ16" s="89"/>
      <c r="AR16" s="66"/>
      <c r="AS16" s="89"/>
    </row>
    <row r="17" spans="2:45" hidden="1" x14ac:dyDescent="0.25">
      <c r="B17" s="92" t="s">
        <v>49</v>
      </c>
      <c r="C17" s="76" t="s">
        <v>43</v>
      </c>
      <c r="D17" s="93">
        <v>2010</v>
      </c>
      <c r="E17" s="94">
        <v>50.79693645208031</v>
      </c>
      <c r="F17" s="94">
        <v>49.958542412647326</v>
      </c>
      <c r="G17" s="94">
        <v>49.516479179001379</v>
      </c>
      <c r="H17" s="94">
        <v>49.148293152002196</v>
      </c>
      <c r="I17" s="94">
        <v>51.993526555833455</v>
      </c>
      <c r="J17" s="94">
        <v>48.889371403756378</v>
      </c>
      <c r="K17" s="94">
        <v>49.371515173236531</v>
      </c>
      <c r="L17" s="94">
        <v>48.768050297863667</v>
      </c>
      <c r="M17" s="94">
        <v>48.74112021857924</v>
      </c>
      <c r="N17" s="94">
        <v>48.646339205605486</v>
      </c>
      <c r="O17" s="94">
        <v>48.584319446695844</v>
      </c>
      <c r="P17" s="94">
        <v>48.615476546160743</v>
      </c>
      <c r="Q17" s="94">
        <v>48.068961055764007</v>
      </c>
      <c r="R17" s="94">
        <v>48.07240895664269</v>
      </c>
      <c r="S17" s="94">
        <v>48.438755951276818</v>
      </c>
      <c r="T17" s="94">
        <v>48.661098615799979</v>
      </c>
      <c r="U17" s="94">
        <v>48.471406306198297</v>
      </c>
      <c r="V17" s="94">
        <v>48.619563536464447</v>
      </c>
      <c r="W17" s="94">
        <v>49.28819457243754</v>
      </c>
      <c r="X17" s="94">
        <v>49.319088391473358</v>
      </c>
      <c r="Y17" s="78">
        <v>49.612498899625535</v>
      </c>
      <c r="Z17" s="78">
        <v>49.375812058854514</v>
      </c>
      <c r="AA17" s="78">
        <v>48.653934561364579</v>
      </c>
      <c r="AB17" s="78">
        <v>48.33926981300089</v>
      </c>
      <c r="AC17" s="78">
        <v>49.295142857142856</v>
      </c>
      <c r="AD17" s="94">
        <f>0.479*100</f>
        <v>47.9</v>
      </c>
      <c r="AE17" s="66"/>
      <c r="AF17" s="110"/>
      <c r="AG17" s="111"/>
      <c r="AH17" s="66"/>
      <c r="AI17" s="54">
        <f t="shared" si="0"/>
        <v>47.9</v>
      </c>
      <c r="AJ17" s="54">
        <f t="shared" si="1"/>
        <v>51.993526555833455</v>
      </c>
      <c r="AK17" s="66"/>
      <c r="AL17" s="66"/>
      <c r="AM17" s="66"/>
      <c r="AN17" s="66"/>
      <c r="AO17" s="78">
        <v>49.509432880325704</v>
      </c>
      <c r="AP17" s="66"/>
      <c r="AQ17" s="86">
        <v>49.509432880325704</v>
      </c>
      <c r="AR17" s="66"/>
      <c r="AS17" s="86">
        <v>48.633747029310797</v>
      </c>
    </row>
    <row r="18" spans="2:45" ht="25.5" hidden="1" x14ac:dyDescent="0.25">
      <c r="B18" s="67" t="s">
        <v>50</v>
      </c>
      <c r="C18" s="76" t="s">
        <v>43</v>
      </c>
      <c r="D18" s="95" t="s">
        <v>51</v>
      </c>
      <c r="E18" s="94">
        <v>95.752009184845008</v>
      </c>
      <c r="F18" s="94">
        <v>88.527169718740808</v>
      </c>
      <c r="G18" s="94">
        <v>84.777781711874226</v>
      </c>
      <c r="H18" s="94">
        <v>92.365345887274103</v>
      </c>
      <c r="I18" s="94">
        <v>84.984712943041558</v>
      </c>
      <c r="J18" s="94">
        <v>92.294540050016508</v>
      </c>
      <c r="K18" s="94">
        <v>90.267868785276534</v>
      </c>
      <c r="L18" s="94">
        <v>94.524553389863968</v>
      </c>
      <c r="M18" s="94">
        <v>89.058587721804287</v>
      </c>
      <c r="N18" s="94">
        <v>92.281275977729976</v>
      </c>
      <c r="O18" s="94">
        <v>94.829263021396144</v>
      </c>
      <c r="P18" s="94">
        <v>93.659327530295272</v>
      </c>
      <c r="Q18" s="94">
        <v>96.122694597144061</v>
      </c>
      <c r="R18" s="94">
        <v>90.944391069631251</v>
      </c>
      <c r="S18" s="94">
        <v>99.243201641867628</v>
      </c>
      <c r="T18" s="94">
        <v>96.424063564131671</v>
      </c>
      <c r="U18" s="94">
        <v>102.36398748085503</v>
      </c>
      <c r="V18" s="94">
        <v>90.58992213124219</v>
      </c>
      <c r="W18" s="94">
        <v>89.336228333684716</v>
      </c>
      <c r="X18" s="94">
        <v>102.80878940903509</v>
      </c>
      <c r="Y18" s="96">
        <v>88.606541248829245</v>
      </c>
      <c r="Z18" s="96">
        <v>88.606541248829245</v>
      </c>
      <c r="AA18" s="94">
        <v>92.240896614549555</v>
      </c>
      <c r="AB18" s="96">
        <v>93.015452493911582</v>
      </c>
      <c r="AC18" s="96">
        <v>93.015452493911582</v>
      </c>
      <c r="AD18" s="94">
        <v>91.141242511442584</v>
      </c>
      <c r="AE18" s="66"/>
      <c r="AF18" s="110"/>
      <c r="AG18" s="111"/>
      <c r="AH18" s="66"/>
      <c r="AI18" s="54">
        <f t="shared" si="0"/>
        <v>84.777781711874226</v>
      </c>
      <c r="AJ18" s="54">
        <f t="shared" si="1"/>
        <v>102.80878940903509</v>
      </c>
      <c r="AK18" s="66"/>
      <c r="AL18" s="66"/>
      <c r="AM18" s="66"/>
      <c r="AN18" s="66"/>
      <c r="AO18" s="94">
        <v>88.606541248829245</v>
      </c>
      <c r="AP18" s="66"/>
      <c r="AQ18" s="141">
        <v>88.606541248829245</v>
      </c>
      <c r="AR18" s="66"/>
      <c r="AS18" s="141">
        <v>93.015452493911582</v>
      </c>
    </row>
    <row r="19" spans="2:45" ht="15.75" hidden="1" thickBot="1" x14ac:dyDescent="0.3">
      <c r="B19" s="66"/>
      <c r="C19" s="87"/>
      <c r="D19" s="88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66"/>
      <c r="AF19" s="110"/>
      <c r="AG19" s="111"/>
      <c r="AH19" s="66"/>
      <c r="AI19" s="54">
        <f t="shared" si="0"/>
        <v>0</v>
      </c>
      <c r="AJ19" s="54">
        <f t="shared" si="1"/>
        <v>0</v>
      </c>
      <c r="AK19" s="66"/>
      <c r="AL19" s="66"/>
      <c r="AM19" s="66"/>
      <c r="AN19" s="66"/>
      <c r="AO19" s="89"/>
      <c r="AP19" s="66"/>
      <c r="AQ19" s="89"/>
      <c r="AR19" s="66"/>
      <c r="AS19" s="89"/>
    </row>
    <row r="20" spans="2:45" ht="15.75" hidden="1" thickBot="1" x14ac:dyDescent="0.3">
      <c r="B20" s="97" t="s">
        <v>52</v>
      </c>
      <c r="C20" s="65"/>
      <c r="D20" s="65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66"/>
      <c r="AF20" s="110"/>
      <c r="AG20" s="111"/>
      <c r="AH20" s="66"/>
      <c r="AI20" s="54">
        <f t="shared" si="0"/>
        <v>0</v>
      </c>
      <c r="AJ20" s="54">
        <f t="shared" si="1"/>
        <v>0</v>
      </c>
      <c r="AK20" s="66"/>
      <c r="AL20" s="66"/>
      <c r="AM20" s="66"/>
      <c r="AN20" s="66"/>
      <c r="AO20" s="89"/>
      <c r="AP20" s="66"/>
      <c r="AQ20" s="89"/>
      <c r="AR20" s="66"/>
      <c r="AS20" s="89"/>
    </row>
    <row r="21" spans="2:45" ht="25.5" hidden="1" x14ac:dyDescent="0.25">
      <c r="B21" s="98" t="s">
        <v>53</v>
      </c>
      <c r="C21" s="76" t="s">
        <v>43</v>
      </c>
      <c r="D21" s="95" t="s">
        <v>51</v>
      </c>
      <c r="E21" s="78">
        <v>44.756461232604373</v>
      </c>
      <c r="F21" s="78">
        <v>38.393019981470268</v>
      </c>
      <c r="G21" s="78">
        <v>35.312084951062047</v>
      </c>
      <c r="H21" s="78">
        <v>44.80052898391007</v>
      </c>
      <c r="I21" s="78">
        <v>30.635544504157643</v>
      </c>
      <c r="J21" s="78">
        <v>42.690218133173168</v>
      </c>
      <c r="K21" s="78">
        <v>38.791042742664636</v>
      </c>
      <c r="L21" s="78">
        <v>39.679331202660542</v>
      </c>
      <c r="M21" s="78">
        <v>45.560843200542877</v>
      </c>
      <c r="N21" s="78">
        <v>48.685486170516114</v>
      </c>
      <c r="O21" s="78">
        <v>46.77344934414343</v>
      </c>
      <c r="P21" s="78">
        <v>52.152843059877441</v>
      </c>
      <c r="Q21" s="78">
        <v>63.07782684438682</v>
      </c>
      <c r="R21" s="78">
        <v>49.229631595912096</v>
      </c>
      <c r="S21" s="78">
        <v>62.503051509480024</v>
      </c>
      <c r="T21" s="78">
        <v>52.805471555471549</v>
      </c>
      <c r="U21" s="78">
        <v>62.244686580768118</v>
      </c>
      <c r="V21" s="78">
        <v>57.230377086384422</v>
      </c>
      <c r="W21" s="78">
        <v>45.015829592959797</v>
      </c>
      <c r="X21" s="78">
        <v>53.267894455512902</v>
      </c>
      <c r="Y21" s="96">
        <v>37.757727648610398</v>
      </c>
      <c r="Z21" s="96">
        <v>37.757727648610398</v>
      </c>
      <c r="AA21" s="78">
        <v>49.372374392976035</v>
      </c>
      <c r="AB21" s="96">
        <v>51.251369580055318</v>
      </c>
      <c r="AC21" s="96">
        <v>51.251369580055318</v>
      </c>
      <c r="AD21" s="94">
        <v>45.475358829246197</v>
      </c>
      <c r="AE21" s="66"/>
      <c r="AF21" s="110"/>
      <c r="AG21" s="111"/>
      <c r="AH21" s="66"/>
      <c r="AI21" s="54">
        <f t="shared" si="0"/>
        <v>30.635544504157643</v>
      </c>
      <c r="AJ21" s="54">
        <f t="shared" si="1"/>
        <v>63.07782684438682</v>
      </c>
      <c r="AK21" s="66"/>
      <c r="AL21" s="66"/>
      <c r="AM21" s="66"/>
      <c r="AN21" s="66"/>
      <c r="AO21" s="78">
        <v>37.757727648610398</v>
      </c>
      <c r="AP21" s="66"/>
      <c r="AQ21" s="86">
        <v>37.757727648610398</v>
      </c>
      <c r="AR21" s="66"/>
      <c r="AS21" s="86">
        <v>51.251369580055318</v>
      </c>
    </row>
    <row r="22" spans="2:45" ht="25.5" hidden="1" x14ac:dyDescent="0.25">
      <c r="B22" s="67" t="s">
        <v>54</v>
      </c>
      <c r="C22" s="76" t="s">
        <v>43</v>
      </c>
      <c r="D22" s="95" t="s">
        <v>51</v>
      </c>
      <c r="E22" s="94">
        <v>57.48898678414097</v>
      </c>
      <c r="F22" s="94">
        <v>63.826596200542781</v>
      </c>
      <c r="G22" s="94">
        <v>68.809217259251923</v>
      </c>
      <c r="H22" s="94">
        <v>68.274383708467312</v>
      </c>
      <c r="I22" s="94">
        <v>50.55025678650037</v>
      </c>
      <c r="J22" s="94">
        <v>63.960955561263809</v>
      </c>
      <c r="K22" s="94">
        <v>64.995842736667058</v>
      </c>
      <c r="L22" s="94">
        <v>69.198219887648648</v>
      </c>
      <c r="M22" s="94">
        <v>65.617577197149643</v>
      </c>
      <c r="N22" s="94">
        <v>69.6652719665272</v>
      </c>
      <c r="O22" s="94">
        <v>71.863971767725374</v>
      </c>
      <c r="P22" s="94">
        <v>74.821628898362121</v>
      </c>
      <c r="Q22" s="94">
        <v>77.139800285306706</v>
      </c>
      <c r="R22" s="94">
        <v>61.369328346072528</v>
      </c>
      <c r="S22" s="94">
        <v>79.033404406538736</v>
      </c>
      <c r="T22" s="94">
        <v>74.747155499367892</v>
      </c>
      <c r="U22" s="94">
        <v>70.910809959029308</v>
      </c>
      <c r="V22" s="94">
        <v>68.475627483283262</v>
      </c>
      <c r="W22" s="94">
        <v>55.975242697867657</v>
      </c>
      <c r="X22" s="94">
        <v>64.506675350048852</v>
      </c>
      <c r="Y22" s="96">
        <v>66.195885784464224</v>
      </c>
      <c r="Z22" s="96">
        <v>66.195885784464224</v>
      </c>
      <c r="AA22" s="94">
        <f>0.716621879234709*100</f>
        <v>71.662187923470896</v>
      </c>
      <c r="AB22" s="96">
        <v>67.645948416325595</v>
      </c>
      <c r="AC22" s="96">
        <v>67.645948416325595</v>
      </c>
      <c r="AD22" s="94">
        <f>0.682604787054725*100</f>
        <v>68.260478705472508</v>
      </c>
      <c r="AE22" s="66"/>
      <c r="AF22" s="110"/>
      <c r="AG22" s="111"/>
      <c r="AH22" s="66"/>
      <c r="AI22" s="54">
        <f t="shared" si="0"/>
        <v>50.55025678650037</v>
      </c>
      <c r="AJ22" s="54">
        <f t="shared" si="1"/>
        <v>79.033404406538736</v>
      </c>
      <c r="AK22" s="66"/>
      <c r="AL22" s="66"/>
      <c r="AM22" s="66"/>
      <c r="AN22" s="66"/>
      <c r="AO22" s="94">
        <f>0.67271142309854*100</f>
        <v>67.271142309854</v>
      </c>
      <c r="AP22" s="66"/>
      <c r="AQ22" s="141">
        <v>67.271142309854</v>
      </c>
      <c r="AR22" s="66"/>
      <c r="AS22" s="141">
        <f>0.676459484163256*100</f>
        <v>67.645948416325595</v>
      </c>
    </row>
    <row r="23" spans="2:45" ht="25.5" hidden="1" x14ac:dyDescent="0.25">
      <c r="B23" s="67" t="s">
        <v>55</v>
      </c>
      <c r="C23" s="76" t="s">
        <v>43</v>
      </c>
      <c r="D23" s="95" t="s">
        <v>51</v>
      </c>
      <c r="E23" s="94">
        <v>41.973244147157189</v>
      </c>
      <c r="F23" s="94">
        <v>34.067995310668231</v>
      </c>
      <c r="G23" s="94">
        <v>31.814546722168679</v>
      </c>
      <c r="H23" s="94">
        <v>38.357968681399093</v>
      </c>
      <c r="I23" s="94">
        <v>31.454381210478772</v>
      </c>
      <c r="J23" s="94">
        <v>37.930419268510256</v>
      </c>
      <c r="K23" s="94">
        <v>34.851854793867666</v>
      </c>
      <c r="L23" s="94">
        <v>34.873726399150129</v>
      </c>
      <c r="M23" s="94">
        <v>35.249748575259801</v>
      </c>
      <c r="N23" s="94">
        <v>43.010884187354776</v>
      </c>
      <c r="O23" s="94">
        <v>40.222313709345407</v>
      </c>
      <c r="P23" s="94">
        <v>41.294379667234374</v>
      </c>
      <c r="Q23" s="94">
        <v>43.280093494351384</v>
      </c>
      <c r="R23" s="94">
        <v>37.371011271630415</v>
      </c>
      <c r="S23" s="94">
        <v>51.140583554376661</v>
      </c>
      <c r="T23" s="94">
        <v>42.328409369134093</v>
      </c>
      <c r="U23" s="94">
        <v>52.308558558558559</v>
      </c>
      <c r="V23" s="94">
        <v>40.626902008521</v>
      </c>
      <c r="W23" s="94">
        <v>33.375971047951829</v>
      </c>
      <c r="X23" s="94">
        <v>35.850455411988982</v>
      </c>
      <c r="Y23" s="96">
        <v>33.828316610925306</v>
      </c>
      <c r="Z23" s="96">
        <v>33.828316610925306</v>
      </c>
      <c r="AA23" s="94">
        <v>39.677865451883186</v>
      </c>
      <c r="AB23" s="96">
        <v>38.496429038185077</v>
      </c>
      <c r="AC23" s="96">
        <v>38.496429038185077</v>
      </c>
      <c r="AD23" s="94">
        <v>37.799999999999997</v>
      </c>
      <c r="AE23" s="66"/>
      <c r="AF23" s="110"/>
      <c r="AG23" s="111"/>
      <c r="AH23" s="66"/>
      <c r="AI23" s="54">
        <f t="shared" si="0"/>
        <v>31.454381210478772</v>
      </c>
      <c r="AJ23" s="54">
        <f t="shared" si="1"/>
        <v>52.308558558558559</v>
      </c>
      <c r="AK23" s="66"/>
      <c r="AL23" s="66"/>
      <c r="AM23" s="66"/>
      <c r="AN23" s="66"/>
      <c r="AO23" s="94">
        <v>33.828316610925306</v>
      </c>
      <c r="AP23" s="66"/>
      <c r="AQ23" s="141">
        <v>33.828316610925306</v>
      </c>
      <c r="AR23" s="66"/>
      <c r="AS23" s="141">
        <v>38.496429038185077</v>
      </c>
    </row>
    <row r="24" spans="2:45" ht="25.5" hidden="1" x14ac:dyDescent="0.25">
      <c r="B24" s="67" t="s">
        <v>56</v>
      </c>
      <c r="C24" s="76" t="s">
        <v>43</v>
      </c>
      <c r="D24" s="95" t="s">
        <v>51</v>
      </c>
      <c r="E24" s="94">
        <v>25.083612040133779</v>
      </c>
      <c r="F24" s="94">
        <v>19.268464243845251</v>
      </c>
      <c r="G24" s="94">
        <v>18.766789017163248</v>
      </c>
      <c r="H24" s="94">
        <v>23.708473584077272</v>
      </c>
      <c r="I24" s="94">
        <v>17.163504968383016</v>
      </c>
      <c r="J24" s="94">
        <v>23.907225691347012</v>
      </c>
      <c r="K24" s="94">
        <v>18.714750973071727</v>
      </c>
      <c r="L24" s="94">
        <v>20.826693708049639</v>
      </c>
      <c r="M24" s="94">
        <v>20.119566432003577</v>
      </c>
      <c r="N24" s="94">
        <v>26.170967347437934</v>
      </c>
      <c r="O24" s="94">
        <v>22.972416632358996</v>
      </c>
      <c r="P24" s="94">
        <v>25.278396436525615</v>
      </c>
      <c r="Q24" s="94">
        <v>27.710686923776134</v>
      </c>
      <c r="R24" s="94">
        <v>23.061861671164735</v>
      </c>
      <c r="S24" s="94">
        <v>34.429708222811669</v>
      </c>
      <c r="T24" s="94">
        <v>26.760793275116296</v>
      </c>
      <c r="U24" s="94">
        <v>29.27927927927928</v>
      </c>
      <c r="V24" s="94">
        <v>26.468350578210593</v>
      </c>
      <c r="W24" s="94">
        <v>19.396000374379931</v>
      </c>
      <c r="X24" s="94">
        <v>23.173056555814448</v>
      </c>
      <c r="Y24" s="96">
        <v>19.580824972129321</v>
      </c>
      <c r="Z24" s="96">
        <v>19.580824972129321</v>
      </c>
      <c r="AA24" s="94">
        <v>23.712682014154396</v>
      </c>
      <c r="AB24" s="96">
        <v>23.817431213819507</v>
      </c>
      <c r="AC24" s="96">
        <v>23.817431213819507</v>
      </c>
      <c r="AD24" s="94">
        <v>22.6</v>
      </c>
      <c r="AE24" s="66"/>
      <c r="AF24" s="110"/>
      <c r="AG24" s="111"/>
      <c r="AH24" s="66"/>
      <c r="AI24" s="54">
        <f t="shared" si="0"/>
        <v>17.163504968383016</v>
      </c>
      <c r="AJ24" s="54">
        <f t="shared" si="1"/>
        <v>34.429708222811669</v>
      </c>
      <c r="AK24" s="66"/>
      <c r="AL24" s="66"/>
      <c r="AM24" s="66"/>
      <c r="AN24" s="66"/>
      <c r="AO24" s="94">
        <v>19.580824972129321</v>
      </c>
      <c r="AP24" s="66"/>
      <c r="AQ24" s="141">
        <v>19.580824972129321</v>
      </c>
      <c r="AR24" s="66"/>
      <c r="AS24" s="141">
        <v>23.817431213819507</v>
      </c>
    </row>
    <row r="25" spans="2:45" ht="15.75" hidden="1" thickBot="1" x14ac:dyDescent="0.3">
      <c r="B25" s="66"/>
      <c r="C25" s="87"/>
      <c r="D25" s="88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99"/>
      <c r="Z25" s="89"/>
      <c r="AA25" s="89"/>
      <c r="AB25" s="89"/>
      <c r="AC25" s="89"/>
      <c r="AD25" s="89"/>
      <c r="AE25" s="66"/>
      <c r="AF25" s="110"/>
      <c r="AG25" s="111"/>
      <c r="AH25" s="66"/>
      <c r="AI25" s="54">
        <f t="shared" si="0"/>
        <v>0</v>
      </c>
      <c r="AJ25" s="54">
        <f t="shared" si="1"/>
        <v>0</v>
      </c>
      <c r="AK25" s="66"/>
      <c r="AL25" s="66"/>
      <c r="AM25" s="66"/>
      <c r="AN25" s="66"/>
      <c r="AO25" s="89"/>
      <c r="AP25" s="66"/>
      <c r="AQ25" s="89"/>
      <c r="AR25" s="66"/>
      <c r="AS25" s="99"/>
    </row>
    <row r="26" spans="2:45" ht="15.75" hidden="1" thickBot="1" x14ac:dyDescent="0.3">
      <c r="B26" s="97" t="s">
        <v>57</v>
      </c>
      <c r="C26" s="65"/>
      <c r="D26" s="65"/>
      <c r="E26" s="89"/>
      <c r="F26" s="100"/>
      <c r="G26" s="89"/>
      <c r="H26" s="89"/>
      <c r="I26" s="89"/>
      <c r="J26" s="89"/>
      <c r="K26" s="89"/>
      <c r="L26" s="89"/>
      <c r="M26" s="89"/>
      <c r="N26" s="100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66"/>
      <c r="AF26" s="110"/>
      <c r="AG26" s="111"/>
      <c r="AH26" s="66"/>
      <c r="AI26" s="54">
        <f t="shared" si="0"/>
        <v>0</v>
      </c>
      <c r="AJ26" s="54">
        <f t="shared" si="1"/>
        <v>0</v>
      </c>
      <c r="AK26" s="66"/>
      <c r="AL26" s="66"/>
      <c r="AM26" s="66"/>
      <c r="AN26" s="66"/>
      <c r="AO26" s="89"/>
      <c r="AP26" s="66"/>
      <c r="AQ26" s="89"/>
      <c r="AR26" s="66"/>
      <c r="AS26" s="89"/>
    </row>
    <row r="27" spans="2:45" hidden="1" x14ac:dyDescent="0.25">
      <c r="B27" s="101" t="s">
        <v>58</v>
      </c>
      <c r="C27" s="76" t="s">
        <v>43</v>
      </c>
      <c r="D27" s="102">
        <v>2011</v>
      </c>
      <c r="E27" s="94">
        <v>25.2</v>
      </c>
      <c r="F27" s="94">
        <v>25.4</v>
      </c>
      <c r="G27" s="94">
        <v>23.6</v>
      </c>
      <c r="H27" s="94">
        <v>24</v>
      </c>
      <c r="I27" s="94">
        <v>20.8</v>
      </c>
      <c r="J27" s="94">
        <v>24.4</v>
      </c>
      <c r="K27" s="94">
        <v>26.6</v>
      </c>
      <c r="L27" s="94">
        <v>26</v>
      </c>
      <c r="M27" s="94">
        <v>30.1</v>
      </c>
      <c r="N27" s="94">
        <v>29.6</v>
      </c>
      <c r="O27" s="94">
        <v>27.4</v>
      </c>
      <c r="P27" s="94">
        <v>21.1</v>
      </c>
      <c r="Q27" s="94">
        <v>26.9</v>
      </c>
      <c r="R27" s="94">
        <v>29.5</v>
      </c>
      <c r="S27" s="94">
        <v>30.9</v>
      </c>
      <c r="T27" s="94">
        <v>32.4</v>
      </c>
      <c r="U27" s="94">
        <v>31.9</v>
      </c>
      <c r="V27" s="94">
        <v>30.5</v>
      </c>
      <c r="W27" s="94">
        <v>29.8</v>
      </c>
      <c r="X27" s="94">
        <v>25</v>
      </c>
      <c r="Y27" s="94">
        <v>24.176091282722286</v>
      </c>
      <c r="Z27" s="94">
        <v>25.626534725897027</v>
      </c>
      <c r="AA27" s="94">
        <v>25.6</v>
      </c>
      <c r="AB27" s="94">
        <v>30.358121941742343</v>
      </c>
      <c r="AC27" s="94">
        <v>28.622561742129083</v>
      </c>
      <c r="AD27" s="94">
        <v>26.7</v>
      </c>
      <c r="AE27" s="66"/>
      <c r="AF27" s="110"/>
      <c r="AG27" s="111"/>
      <c r="AH27" s="66"/>
      <c r="AI27" s="54">
        <f t="shared" si="0"/>
        <v>20.8</v>
      </c>
      <c r="AJ27" s="54">
        <f t="shared" si="1"/>
        <v>32.4</v>
      </c>
      <c r="AK27" s="66"/>
      <c r="AL27" s="66"/>
      <c r="AM27" s="66"/>
      <c r="AN27" s="66"/>
      <c r="AO27" s="94">
        <v>24.8</v>
      </c>
      <c r="AP27" s="66"/>
      <c r="AQ27" s="141">
        <v>24.8</v>
      </c>
      <c r="AR27" s="66"/>
      <c r="AS27" s="141">
        <v>29.8</v>
      </c>
    </row>
    <row r="28" spans="2:45" hidden="1" x14ac:dyDescent="0.25">
      <c r="B28" s="101" t="s">
        <v>59</v>
      </c>
      <c r="C28" s="76" t="s">
        <v>43</v>
      </c>
      <c r="D28" s="102">
        <v>2011</v>
      </c>
      <c r="E28" s="94">
        <v>33.200000000000003</v>
      </c>
      <c r="F28" s="94">
        <v>29.4</v>
      </c>
      <c r="G28" s="94">
        <v>28.8</v>
      </c>
      <c r="H28" s="94">
        <v>27.6</v>
      </c>
      <c r="I28" s="94">
        <v>29.9</v>
      </c>
      <c r="J28" s="94">
        <v>31.8</v>
      </c>
      <c r="K28" s="94">
        <v>28.7</v>
      </c>
      <c r="L28" s="94">
        <v>26</v>
      </c>
      <c r="M28" s="94">
        <v>26.3</v>
      </c>
      <c r="N28" s="94">
        <v>25.7</v>
      </c>
      <c r="O28" s="94">
        <v>22.9</v>
      </c>
      <c r="P28" s="94">
        <v>25.2</v>
      </c>
      <c r="Q28" s="94">
        <v>24.6</v>
      </c>
      <c r="R28" s="94">
        <v>31.3</v>
      </c>
      <c r="S28" s="94">
        <v>28.6</v>
      </c>
      <c r="T28" s="94">
        <v>29.5</v>
      </c>
      <c r="U28" s="94">
        <v>25.6</v>
      </c>
      <c r="V28" s="94">
        <v>27.9</v>
      </c>
      <c r="W28" s="94">
        <v>31.8</v>
      </c>
      <c r="X28" s="94">
        <v>34.4</v>
      </c>
      <c r="Y28" s="94">
        <v>28.865279298402562</v>
      </c>
      <c r="Z28" s="94">
        <v>28.106760963553416</v>
      </c>
      <c r="AA28" s="94">
        <v>25.4</v>
      </c>
      <c r="AB28" s="94">
        <v>29.33040785107751</v>
      </c>
      <c r="AC28" s="94">
        <v>32.454476568629623</v>
      </c>
      <c r="AD28" s="94">
        <v>28.5</v>
      </c>
      <c r="AE28" s="66"/>
      <c r="AF28" s="110"/>
      <c r="AG28" s="111"/>
      <c r="AH28" s="66"/>
      <c r="AI28" s="54">
        <f t="shared" si="0"/>
        <v>22.9</v>
      </c>
      <c r="AJ28" s="54">
        <f t="shared" si="1"/>
        <v>34.4</v>
      </c>
      <c r="AK28" s="66"/>
      <c r="AL28" s="66"/>
      <c r="AM28" s="66"/>
      <c r="AN28" s="66"/>
      <c r="AO28" s="94">
        <v>28.5</v>
      </c>
      <c r="AP28" s="66"/>
      <c r="AQ28" s="141">
        <v>28.5</v>
      </c>
      <c r="AR28" s="66"/>
      <c r="AS28" s="141">
        <v>30.3</v>
      </c>
    </row>
    <row r="29" spans="2:45" hidden="1" x14ac:dyDescent="0.25">
      <c r="B29" s="101" t="s">
        <v>60</v>
      </c>
      <c r="C29" s="76" t="s">
        <v>43</v>
      </c>
      <c r="D29" s="102">
        <v>2011</v>
      </c>
      <c r="E29" s="94">
        <v>26.7</v>
      </c>
      <c r="F29" s="94">
        <v>27.1</v>
      </c>
      <c r="G29" s="94">
        <v>26.2</v>
      </c>
      <c r="H29" s="94">
        <v>27.6</v>
      </c>
      <c r="I29" s="94">
        <v>24.8</v>
      </c>
      <c r="J29" s="94">
        <v>26.1</v>
      </c>
      <c r="K29" s="94">
        <v>25.8</v>
      </c>
      <c r="L29" s="94">
        <v>27.7</v>
      </c>
      <c r="M29" s="94">
        <v>26.9</v>
      </c>
      <c r="N29" s="94">
        <v>29</v>
      </c>
      <c r="O29" s="94">
        <v>30.6</v>
      </c>
      <c r="P29" s="94">
        <v>34.1</v>
      </c>
      <c r="Q29" s="94">
        <v>31.6</v>
      </c>
      <c r="R29" s="94">
        <v>27.3</v>
      </c>
      <c r="S29" s="94">
        <v>26.5</v>
      </c>
      <c r="T29" s="94">
        <v>26.2</v>
      </c>
      <c r="U29" s="94">
        <v>29.5</v>
      </c>
      <c r="V29" s="94">
        <v>29</v>
      </c>
      <c r="W29" s="94">
        <v>27.3</v>
      </c>
      <c r="X29" s="78">
        <v>26.8</v>
      </c>
      <c r="Y29" s="78">
        <v>26.570422635497092</v>
      </c>
      <c r="Z29" s="78">
        <v>26.475179409627962</v>
      </c>
      <c r="AA29" s="137"/>
      <c r="AB29" s="78">
        <v>27.711893666567182</v>
      </c>
      <c r="AC29" s="78">
        <v>27.139488854301529</v>
      </c>
      <c r="AD29" s="94">
        <v>27.7</v>
      </c>
      <c r="AE29" s="66"/>
      <c r="AF29" s="110"/>
      <c r="AG29" s="111"/>
      <c r="AH29" s="66"/>
      <c r="AI29" s="54">
        <f t="shared" si="0"/>
        <v>24.8</v>
      </c>
      <c r="AJ29" s="54">
        <f t="shared" si="1"/>
        <v>34.1</v>
      </c>
      <c r="AK29" s="66"/>
      <c r="AL29" s="66"/>
      <c r="AM29" s="66"/>
      <c r="AN29" s="66"/>
      <c r="AO29" s="78">
        <v>26.5</v>
      </c>
      <c r="AP29" s="66"/>
      <c r="AQ29" s="86">
        <v>26.5</v>
      </c>
      <c r="AR29" s="66"/>
      <c r="AS29" s="86">
        <v>27.5</v>
      </c>
    </row>
    <row r="30" spans="2:45" hidden="1" x14ac:dyDescent="0.25">
      <c r="B30" s="101" t="s">
        <v>61</v>
      </c>
      <c r="C30" s="76" t="s">
        <v>43</v>
      </c>
      <c r="D30" s="102">
        <v>2011</v>
      </c>
      <c r="E30" s="94">
        <v>5.5</v>
      </c>
      <c r="F30" s="94">
        <v>7.4</v>
      </c>
      <c r="G30" s="94">
        <v>8.9</v>
      </c>
      <c r="H30" s="94">
        <v>7.1</v>
      </c>
      <c r="I30" s="94">
        <v>13.8</v>
      </c>
      <c r="J30" s="94">
        <v>7.2</v>
      </c>
      <c r="K30" s="94">
        <v>8</v>
      </c>
      <c r="L30" s="94">
        <v>6.7</v>
      </c>
      <c r="M30" s="94">
        <v>4.2</v>
      </c>
      <c r="N30" s="94">
        <v>3.9</v>
      </c>
      <c r="O30" s="94">
        <v>5.0999999999999996</v>
      </c>
      <c r="P30" s="94"/>
      <c r="Q30" s="94">
        <v>3.3</v>
      </c>
      <c r="R30" s="94">
        <v>2.4</v>
      </c>
      <c r="S30" s="94">
        <v>1.9</v>
      </c>
      <c r="T30" s="94">
        <v>2.8</v>
      </c>
      <c r="U30" s="94">
        <v>3</v>
      </c>
      <c r="V30" s="94">
        <v>2</v>
      </c>
      <c r="W30" s="94">
        <v>1.8</v>
      </c>
      <c r="X30" s="94">
        <v>2.6</v>
      </c>
      <c r="Y30" s="94">
        <v>8.2650553023430238</v>
      </c>
      <c r="Z30" s="94">
        <v>7.9236798871307439</v>
      </c>
      <c r="AA30" s="94">
        <v>4.4000000000000004</v>
      </c>
      <c r="AB30" s="94">
        <v>2.5609943646192836</v>
      </c>
      <c r="AC30" s="94">
        <v>2.0103735233535152</v>
      </c>
      <c r="AD30" s="94">
        <v>5.4</v>
      </c>
      <c r="AE30" s="66"/>
      <c r="AF30" s="110"/>
      <c r="AG30" s="111"/>
      <c r="AH30" s="66"/>
      <c r="AI30" s="54">
        <f t="shared" si="0"/>
        <v>1.8</v>
      </c>
      <c r="AJ30" s="54">
        <f t="shared" si="1"/>
        <v>13.8</v>
      </c>
      <c r="AK30" s="66"/>
      <c r="AL30" s="66"/>
      <c r="AM30" s="66"/>
      <c r="AN30" s="66"/>
      <c r="AO30" s="94">
        <v>8.1</v>
      </c>
      <c r="AP30" s="66"/>
      <c r="AQ30" s="141">
        <v>8.1</v>
      </c>
      <c r="AR30" s="66"/>
      <c r="AS30" s="141">
        <v>2.4</v>
      </c>
    </row>
    <row r="31" spans="2:45" hidden="1" x14ac:dyDescent="0.25">
      <c r="B31" s="101" t="s">
        <v>62</v>
      </c>
      <c r="C31" s="76" t="s">
        <v>43</v>
      </c>
      <c r="D31" s="102">
        <v>2011</v>
      </c>
      <c r="E31" s="94">
        <v>9.4</v>
      </c>
      <c r="F31" s="94">
        <v>10.8</v>
      </c>
      <c r="G31" s="94">
        <v>12.5</v>
      </c>
      <c r="H31" s="94">
        <v>13.8</v>
      </c>
      <c r="I31" s="94">
        <v>10.7</v>
      </c>
      <c r="J31" s="94">
        <v>10.5</v>
      </c>
      <c r="K31" s="94">
        <v>10.9</v>
      </c>
      <c r="L31" s="94">
        <v>13.6</v>
      </c>
      <c r="M31" s="94">
        <v>12.6</v>
      </c>
      <c r="N31" s="94">
        <v>11.9</v>
      </c>
      <c r="O31" s="94">
        <v>14</v>
      </c>
      <c r="P31" s="94">
        <v>14.9</v>
      </c>
      <c r="Q31" s="94">
        <v>13.6</v>
      </c>
      <c r="R31" s="94">
        <v>9.6</v>
      </c>
      <c r="S31" s="94">
        <v>12.2</v>
      </c>
      <c r="T31" s="94">
        <v>9</v>
      </c>
      <c r="U31" s="94">
        <v>10</v>
      </c>
      <c r="V31" s="94">
        <v>10.6</v>
      </c>
      <c r="W31" s="94">
        <v>9.3000000000000007</v>
      </c>
      <c r="X31" s="94">
        <v>11.2</v>
      </c>
      <c r="Y31" s="78">
        <v>12.123137519675046</v>
      </c>
      <c r="Z31" s="78">
        <v>11.867825515923322</v>
      </c>
      <c r="AA31" s="78">
        <v>13.7</v>
      </c>
      <c r="AB31" s="78">
        <v>10.03855010302639</v>
      </c>
      <c r="AC31" s="78">
        <v>9.7730657533455894</v>
      </c>
      <c r="AD31" s="94">
        <v>11.6</v>
      </c>
      <c r="AE31" s="66"/>
      <c r="AF31" s="110"/>
      <c r="AG31" s="111"/>
      <c r="AH31" s="66"/>
      <c r="AI31" s="54">
        <f t="shared" si="0"/>
        <v>9</v>
      </c>
      <c r="AJ31" s="54">
        <f t="shared" si="1"/>
        <v>14.9</v>
      </c>
      <c r="AK31" s="66"/>
      <c r="AL31" s="66"/>
      <c r="AM31" s="66"/>
      <c r="AN31" s="66"/>
      <c r="AO31" s="78">
        <v>12</v>
      </c>
      <c r="AP31" s="66"/>
      <c r="AQ31" s="86">
        <v>12</v>
      </c>
      <c r="AR31" s="66"/>
      <c r="AS31" s="141">
        <v>10</v>
      </c>
    </row>
    <row r="32" spans="2:45" ht="6" hidden="1" customHeight="1" x14ac:dyDescent="0.25">
      <c r="B32" s="103"/>
      <c r="C32" s="80"/>
      <c r="D32" s="104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2"/>
      <c r="AA32" s="82"/>
      <c r="AB32" s="82"/>
      <c r="AC32" s="82"/>
      <c r="AD32" s="82"/>
      <c r="AE32" s="66"/>
      <c r="AF32" s="110"/>
      <c r="AG32" s="111"/>
      <c r="AH32" s="66"/>
      <c r="AI32" s="54">
        <f t="shared" si="0"/>
        <v>0</v>
      </c>
      <c r="AJ32" s="54">
        <f t="shared" si="1"/>
        <v>0</v>
      </c>
      <c r="AK32" s="66"/>
      <c r="AL32" s="66"/>
      <c r="AM32" s="66"/>
      <c r="AN32" s="66"/>
      <c r="AO32" s="82"/>
      <c r="AP32" s="66"/>
      <c r="AQ32" s="105"/>
      <c r="AR32" s="66"/>
      <c r="AS32" s="105"/>
    </row>
    <row r="33" spans="2:45" hidden="1" x14ac:dyDescent="0.25">
      <c r="B33" s="101" t="s">
        <v>63</v>
      </c>
      <c r="C33" s="76" t="s">
        <v>43</v>
      </c>
      <c r="D33" s="102">
        <v>2011</v>
      </c>
      <c r="E33" s="94">
        <v>4.52810061198136</v>
      </c>
      <c r="F33" s="94">
        <v>6.1309460756527399</v>
      </c>
      <c r="G33" s="94">
        <v>5.9080107155202199</v>
      </c>
      <c r="H33" s="94">
        <v>6.5219524775705198</v>
      </c>
      <c r="I33" s="94">
        <v>7.8412855078586796</v>
      </c>
      <c r="J33" s="94">
        <v>6.5299050767886699</v>
      </c>
      <c r="K33" s="94">
        <v>5.86196746460881</v>
      </c>
      <c r="L33" s="94">
        <v>6.9928060349328698</v>
      </c>
      <c r="M33" s="94">
        <v>7.1549915727066402</v>
      </c>
      <c r="N33" s="94">
        <v>5.4039417040772104</v>
      </c>
      <c r="O33" s="94">
        <v>7.5139500500771002</v>
      </c>
      <c r="P33" s="94">
        <v>6.7285706879884799</v>
      </c>
      <c r="Q33" s="94">
        <v>7.5909299569770798</v>
      </c>
      <c r="R33" s="94">
        <v>4.9281302787649803</v>
      </c>
      <c r="S33" s="94">
        <v>5.6940072119512299</v>
      </c>
      <c r="T33" s="94">
        <v>5.0931873794462703</v>
      </c>
      <c r="U33" s="94">
        <v>5.9238276659698403</v>
      </c>
      <c r="V33" s="94">
        <v>5.51783444521842</v>
      </c>
      <c r="W33" s="94">
        <v>4.5152662353006203</v>
      </c>
      <c r="X33" s="94">
        <v>7.6411802651618999</v>
      </c>
      <c r="Y33" s="94">
        <v>6.5360612138514202</v>
      </c>
      <c r="Z33" s="94">
        <v>6.0184324814549903</v>
      </c>
      <c r="AA33" s="94">
        <v>6.7492114485894703</v>
      </c>
      <c r="AB33" s="94">
        <v>5.3696245106051803</v>
      </c>
      <c r="AC33" s="94">
        <v>5.3230993420092503</v>
      </c>
      <c r="AD33" s="94">
        <v>6.0345991160228296</v>
      </c>
      <c r="AE33" s="66"/>
      <c r="AF33" s="110"/>
      <c r="AG33" s="111"/>
      <c r="AH33" s="66"/>
      <c r="AI33" s="54">
        <f t="shared" si="0"/>
        <v>4.5152662353006203</v>
      </c>
      <c r="AJ33" s="54">
        <f t="shared" si="1"/>
        <v>7.8412855078586796</v>
      </c>
      <c r="AK33" s="66"/>
      <c r="AL33" s="66"/>
      <c r="AM33" s="66"/>
      <c r="AN33" s="66"/>
      <c r="AO33" s="94">
        <v>6.2353128065529901</v>
      </c>
      <c r="AP33" s="66"/>
      <c r="AQ33" s="141">
        <v>6.2353128065529901</v>
      </c>
      <c r="AR33" s="66"/>
      <c r="AS33" s="141">
        <v>5.3546277303289598</v>
      </c>
    </row>
    <row r="34" spans="2:45" ht="6" hidden="1" customHeight="1" x14ac:dyDescent="0.25">
      <c r="B34" s="105"/>
      <c r="C34" s="80"/>
      <c r="D34" s="104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2"/>
      <c r="AE34" s="66"/>
      <c r="AF34" s="110"/>
      <c r="AG34" s="111"/>
      <c r="AH34" s="66"/>
      <c r="AI34" s="54">
        <f t="shared" si="0"/>
        <v>0</v>
      </c>
      <c r="AJ34" s="54">
        <f t="shared" si="1"/>
        <v>0</v>
      </c>
      <c r="AK34" s="66"/>
      <c r="AL34" s="66"/>
      <c r="AM34" s="66"/>
      <c r="AN34" s="66"/>
      <c r="AO34" s="82"/>
      <c r="AP34" s="66"/>
      <c r="AQ34" s="105"/>
      <c r="AR34" s="66"/>
      <c r="AS34" s="105"/>
    </row>
    <row r="35" spans="2:45" hidden="1" x14ac:dyDescent="0.25">
      <c r="B35" s="101" t="s">
        <v>64</v>
      </c>
      <c r="C35" s="76" t="s">
        <v>43</v>
      </c>
      <c r="D35" s="102">
        <v>2010</v>
      </c>
      <c r="E35" s="94">
        <v>61.123495318769507</v>
      </c>
      <c r="F35" s="94">
        <v>62.163038574328901</v>
      </c>
      <c r="G35" s="94">
        <v>61.729116192625533</v>
      </c>
      <c r="H35" s="94">
        <v>60.570214273065346</v>
      </c>
      <c r="I35" s="94">
        <v>66.990565504773741</v>
      </c>
      <c r="J35" s="94">
        <v>61.420385848709458</v>
      </c>
      <c r="K35" s="94">
        <v>61.28648549730076</v>
      </c>
      <c r="L35" s="94">
        <v>61.616161616161612</v>
      </c>
      <c r="M35" s="94">
        <v>61.822814017209062</v>
      </c>
      <c r="N35" s="94">
        <v>63.323451276325414</v>
      </c>
      <c r="O35" s="94">
        <v>60.695251937984494</v>
      </c>
      <c r="P35" s="94">
        <v>58.666155615178226</v>
      </c>
      <c r="Q35" s="94">
        <v>63.060068514058955</v>
      </c>
      <c r="R35" s="94">
        <v>61.060377862086057</v>
      </c>
      <c r="S35" s="94">
        <v>65.071456667103718</v>
      </c>
      <c r="T35" s="94">
        <v>63.569468156376288</v>
      </c>
      <c r="U35" s="94">
        <v>63.846907360761264</v>
      </c>
      <c r="V35" s="94">
        <v>63.608810280044011</v>
      </c>
      <c r="W35" s="94">
        <v>63.56265547263682</v>
      </c>
      <c r="X35" s="94">
        <v>62.973041925333781</v>
      </c>
      <c r="Y35" s="94">
        <v>61.716013187284034</v>
      </c>
      <c r="Z35" s="94">
        <v>61.992449998294433</v>
      </c>
      <c r="AA35" s="94">
        <v>60.159596165612896</v>
      </c>
      <c r="AB35" s="94">
        <v>62.446277018868145</v>
      </c>
      <c r="AC35" s="94">
        <v>63.435763221630459</v>
      </c>
      <c r="AD35" s="94">
        <v>61.90249971530406</v>
      </c>
      <c r="AE35" s="66"/>
      <c r="AF35" s="110"/>
      <c r="AG35" s="111"/>
      <c r="AH35" s="66"/>
      <c r="AI35" s="54">
        <f t="shared" si="0"/>
        <v>58.666155615178226</v>
      </c>
      <c r="AJ35" s="54">
        <f t="shared" si="1"/>
        <v>66.990565504773741</v>
      </c>
      <c r="AK35" s="66"/>
      <c r="AL35" s="66"/>
      <c r="AM35" s="66"/>
      <c r="AN35" s="66"/>
      <c r="AO35" s="94">
        <v>61.829631620146976</v>
      </c>
      <c r="AP35" s="66"/>
      <c r="AQ35" s="141">
        <v>61.829631620146976</v>
      </c>
      <c r="AR35" s="66"/>
      <c r="AS35" s="141">
        <v>62.762200644727741</v>
      </c>
    </row>
    <row r="36" spans="2:45" hidden="1" x14ac:dyDescent="0.25">
      <c r="B36" s="101" t="s">
        <v>65</v>
      </c>
      <c r="C36" s="76" t="s">
        <v>43</v>
      </c>
      <c r="D36" s="102">
        <v>2010</v>
      </c>
      <c r="E36" s="94">
        <v>34.37229437229437</v>
      </c>
      <c r="F36" s="94">
        <v>35.683080082850331</v>
      </c>
      <c r="G36" s="94">
        <v>37.707612456747405</v>
      </c>
      <c r="H36" s="94">
        <v>33.951863777765652</v>
      </c>
      <c r="I36" s="94">
        <v>36.063218390804593</v>
      </c>
      <c r="J36" s="94">
        <v>38.664243525670152</v>
      </c>
      <c r="K36" s="94">
        <v>40.286626312931297</v>
      </c>
      <c r="L36" s="94">
        <v>38.459547516823484</v>
      </c>
      <c r="M36" s="94">
        <v>37.05110497237569</v>
      </c>
      <c r="N36" s="94">
        <v>40.607037712042619</v>
      </c>
      <c r="O36" s="94">
        <v>37.455156094954582</v>
      </c>
      <c r="P36" s="94">
        <v>33.326024711739365</v>
      </c>
      <c r="Q36" s="94">
        <v>34.28643405970525</v>
      </c>
      <c r="R36" s="94">
        <v>33.323994957276931</v>
      </c>
      <c r="S36" s="94">
        <v>33.003826530612244</v>
      </c>
      <c r="T36" s="94">
        <v>33.522963261299132</v>
      </c>
      <c r="U36" s="94">
        <v>36.683289662750404</v>
      </c>
      <c r="V36" s="94">
        <v>36.262861992150206</v>
      </c>
      <c r="W36" s="94">
        <v>35.209451724406208</v>
      </c>
      <c r="X36" s="94">
        <v>37.867417135709822</v>
      </c>
      <c r="Y36" s="94">
        <v>36.831269041182281</v>
      </c>
      <c r="Z36" s="94">
        <v>39.038024308661882</v>
      </c>
      <c r="AA36" s="94">
        <v>35.988207478326864</v>
      </c>
      <c r="AB36" s="94">
        <v>34.009257057133972</v>
      </c>
      <c r="AC36" s="94">
        <v>35.853648267441365</v>
      </c>
      <c r="AD36" s="94">
        <v>36.156035784217686</v>
      </c>
      <c r="AE36" s="66"/>
      <c r="AF36" s="110"/>
      <c r="AG36" s="111"/>
      <c r="AH36" s="66"/>
      <c r="AI36" s="54">
        <f t="shared" si="0"/>
        <v>33.003826530612244</v>
      </c>
      <c r="AJ36" s="54">
        <f t="shared" si="1"/>
        <v>40.607037712042619</v>
      </c>
      <c r="AK36" s="66"/>
      <c r="AL36" s="66"/>
      <c r="AM36" s="66"/>
      <c r="AN36" s="66"/>
      <c r="AO36" s="94">
        <v>37.821365021577726</v>
      </c>
      <c r="AP36" s="66"/>
      <c r="AQ36" s="141">
        <v>37.821365021577726</v>
      </c>
      <c r="AR36" s="66"/>
      <c r="AS36" s="141">
        <v>34.567923277049431</v>
      </c>
    </row>
    <row r="37" spans="2:45" hidden="1" x14ac:dyDescent="0.25">
      <c r="B37" s="101" t="s">
        <v>66</v>
      </c>
      <c r="C37" s="76" t="s">
        <v>43</v>
      </c>
      <c r="D37" s="102">
        <v>2010</v>
      </c>
      <c r="E37" s="94">
        <v>47.871598046057223</v>
      </c>
      <c r="F37" s="94">
        <v>48.638053200139389</v>
      </c>
      <c r="G37" s="94">
        <v>46.842237803019259</v>
      </c>
      <c r="H37" s="94">
        <v>45.375920534338071</v>
      </c>
      <c r="I37" s="94">
        <v>52.041900713526644</v>
      </c>
      <c r="J37" s="94">
        <v>42.699490662139219</v>
      </c>
      <c r="K37" s="94">
        <v>44.161721582119192</v>
      </c>
      <c r="L37" s="94">
        <v>45.42751317230946</v>
      </c>
      <c r="M37" s="94">
        <v>42.243354360857424</v>
      </c>
      <c r="N37" s="94">
        <v>38.982942973523421</v>
      </c>
      <c r="O37" s="94">
        <v>41.264693960275636</v>
      </c>
      <c r="P37" s="94">
        <v>45.695964313096816</v>
      </c>
      <c r="Q37" s="94">
        <v>34.739803094233473</v>
      </c>
      <c r="R37" s="94">
        <v>43.039322850976767</v>
      </c>
      <c r="S37" s="94">
        <v>35.224274406332455</v>
      </c>
      <c r="T37" s="94">
        <v>45.112510529060209</v>
      </c>
      <c r="U37" s="94">
        <v>37.384339179671315</v>
      </c>
      <c r="V37" s="94">
        <v>37.970893970893968</v>
      </c>
      <c r="W37" s="94">
        <v>38.474244811938711</v>
      </c>
      <c r="X37" s="94">
        <v>38.945357800668532</v>
      </c>
      <c r="Y37" s="94">
        <v>47.217795700673193</v>
      </c>
      <c r="Z37" s="94">
        <v>45.490910835052041</v>
      </c>
      <c r="AA37" s="94">
        <v>43.162920717834666</v>
      </c>
      <c r="AB37" s="94">
        <v>42.132784707042134</v>
      </c>
      <c r="AC37" s="94">
        <v>38.576817965779469</v>
      </c>
      <c r="AD37" s="94">
        <v>43.63854845179825</v>
      </c>
      <c r="AE37" s="66"/>
      <c r="AF37" s="110"/>
      <c r="AG37" s="111"/>
      <c r="AH37" s="66"/>
      <c r="AI37" s="54">
        <f t="shared" si="0"/>
        <v>34.739803094233473</v>
      </c>
      <c r="AJ37" s="54">
        <f t="shared" si="1"/>
        <v>52.041900713526644</v>
      </c>
      <c r="AK37" s="66"/>
      <c r="AL37" s="66"/>
      <c r="AM37" s="66"/>
      <c r="AN37" s="66"/>
      <c r="AO37" s="94">
        <v>46.425601013901542</v>
      </c>
      <c r="AP37" s="66"/>
      <c r="AQ37" s="141">
        <v>46.425601013901542</v>
      </c>
      <c r="AR37" s="66"/>
      <c r="AS37" s="141">
        <v>41.094756010318889</v>
      </c>
    </row>
    <row r="38" spans="2:45" ht="6" hidden="1" customHeight="1" x14ac:dyDescent="0.25">
      <c r="B38" s="103"/>
      <c r="C38" s="80"/>
      <c r="D38" s="104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2"/>
      <c r="AD38" s="94"/>
      <c r="AE38" s="66"/>
      <c r="AF38" s="110"/>
      <c r="AG38" s="111"/>
      <c r="AH38" s="66"/>
      <c r="AI38" s="54">
        <f t="shared" si="0"/>
        <v>0</v>
      </c>
      <c r="AJ38" s="54">
        <f t="shared" si="1"/>
        <v>0</v>
      </c>
      <c r="AK38" s="66"/>
      <c r="AL38" s="66"/>
      <c r="AM38" s="66"/>
      <c r="AN38" s="66"/>
      <c r="AO38" s="82"/>
      <c r="AP38" s="66"/>
      <c r="AQ38" s="141"/>
      <c r="AR38" s="66"/>
      <c r="AS38" s="141"/>
    </row>
    <row r="39" spans="2:45" hidden="1" x14ac:dyDescent="0.25">
      <c r="B39" s="101" t="s">
        <v>67</v>
      </c>
      <c r="C39" s="76" t="s">
        <v>43</v>
      </c>
      <c r="D39" s="102">
        <v>2008</v>
      </c>
      <c r="E39" s="94">
        <f>0*100</f>
        <v>0</v>
      </c>
      <c r="F39" s="94">
        <f>0.32*100</f>
        <v>32</v>
      </c>
      <c r="G39" s="94">
        <f>0.26*(1*100)</f>
        <v>26</v>
      </c>
      <c r="H39" s="94">
        <f>0.37*(1*100)</f>
        <v>37</v>
      </c>
      <c r="I39" s="94">
        <f>0.26*(1*100)</f>
        <v>26</v>
      </c>
      <c r="J39" s="94">
        <f>0.26*(1*100)</f>
        <v>26</v>
      </c>
      <c r="K39" s="94">
        <f>0.26*(1*100)</f>
        <v>26</v>
      </c>
      <c r="L39" s="94">
        <f>0.3*(1*100)</f>
        <v>30</v>
      </c>
      <c r="M39" s="94">
        <f>0.26*(1*100)</f>
        <v>26</v>
      </c>
      <c r="N39" s="94">
        <f>0.21*(1*100)</f>
        <v>21</v>
      </c>
      <c r="O39" s="94">
        <f>0.43*(1*100)</f>
        <v>43</v>
      </c>
      <c r="P39" s="94">
        <f>0.37*(1*100)</f>
        <v>37</v>
      </c>
      <c r="Q39" s="94">
        <f>0.23*(1*100)</f>
        <v>23</v>
      </c>
      <c r="R39" s="94">
        <f>0.33*(1*100)</f>
        <v>33</v>
      </c>
      <c r="S39" s="94">
        <f>0.18*(1*100)</f>
        <v>18</v>
      </c>
      <c r="T39" s="94">
        <f>0.39*(1*100)</f>
        <v>39</v>
      </c>
      <c r="U39" s="94">
        <f>0.42*(1*100)</f>
        <v>42</v>
      </c>
      <c r="V39" s="94">
        <f>0.54*(1*100)</f>
        <v>54</v>
      </c>
      <c r="W39" s="94">
        <f>0.34*(1*100)</f>
        <v>34</v>
      </c>
      <c r="X39" s="94">
        <f>0.42*(1*100)</f>
        <v>42</v>
      </c>
      <c r="Y39" s="94">
        <f>0.29*(1*100)</f>
        <v>28.999999999999996</v>
      </c>
      <c r="Z39" s="78">
        <f>0.28*(1*100)</f>
        <v>28.000000000000004</v>
      </c>
      <c r="AA39" s="78">
        <f>0.32*(1*100)</f>
        <v>32</v>
      </c>
      <c r="AB39" s="78">
        <v>35.421545667447305</v>
      </c>
      <c r="AC39" s="78">
        <v>35.65891472868217</v>
      </c>
      <c r="AD39" s="94">
        <f>0.31*(1*100)</f>
        <v>31</v>
      </c>
      <c r="AE39" s="66"/>
      <c r="AF39" s="110"/>
      <c r="AG39" s="111"/>
      <c r="AH39" s="66"/>
      <c r="AI39" s="54">
        <f t="shared" si="0"/>
        <v>0</v>
      </c>
      <c r="AJ39" s="54">
        <f t="shared" si="1"/>
        <v>54</v>
      </c>
      <c r="AK39" s="66"/>
      <c r="AL39" s="66"/>
      <c r="AM39" s="66"/>
      <c r="AN39" s="66"/>
      <c r="AO39" s="78">
        <v>28.120262758969179</v>
      </c>
      <c r="AP39" s="66"/>
      <c r="AQ39" s="86">
        <v>28.120262758969179</v>
      </c>
      <c r="AR39" s="66"/>
      <c r="AS39" s="141">
        <v>35.486612834679136</v>
      </c>
    </row>
    <row r="40" spans="2:45" hidden="1" x14ac:dyDescent="0.25">
      <c r="B40" s="101" t="s">
        <v>127</v>
      </c>
      <c r="C40" s="76" t="s">
        <v>43</v>
      </c>
      <c r="D40" s="102">
        <v>2008</v>
      </c>
      <c r="E40" s="94">
        <v>0</v>
      </c>
      <c r="F40" s="94">
        <f>0.671370967741935*100</f>
        <v>67.137096774193509</v>
      </c>
      <c r="G40" s="94">
        <f>0.597911227154047*(1*100)</f>
        <v>59.791122715404697</v>
      </c>
      <c r="H40" s="94">
        <f>0.706293706293706*(1*100)</f>
        <v>70.629370629370598</v>
      </c>
      <c r="I40" s="94">
        <f>0*(1*100)</f>
        <v>0</v>
      </c>
      <c r="J40" s="94">
        <f>0.638095238095238*(1*100)</f>
        <v>63.809523809523803</v>
      </c>
      <c r="K40" s="94">
        <f>0.612546125461255*(1*100)</f>
        <v>61.2546125461255</v>
      </c>
      <c r="L40" s="94">
        <f>0.59255079006772*(1*100)</f>
        <v>59.255079006772007</v>
      </c>
      <c r="M40" s="94">
        <f>0.635496183206107*(1*100)</f>
        <v>63.549618320610705</v>
      </c>
      <c r="N40" s="94">
        <f>0.531055900621118*(1*100)</f>
        <v>53.105590062111794</v>
      </c>
      <c r="O40" s="94">
        <f>0.559808612440191*(1*100)</f>
        <v>55.980861244019096</v>
      </c>
      <c r="P40" s="94">
        <f>0.689243027888446*(1*100)</f>
        <v>68.924302788844599</v>
      </c>
      <c r="Q40" s="94">
        <f>0.672727272727273*(1*100)</f>
        <v>67.272727272727295</v>
      </c>
      <c r="R40" s="94">
        <f>0.679911699779249*(1*100)</f>
        <v>67.991169977924898</v>
      </c>
      <c r="S40" s="94">
        <f>0.5*(1*100)</f>
        <v>50</v>
      </c>
      <c r="T40" s="94">
        <f>0.731800766283525*(1*100)</f>
        <v>73.180076628352495</v>
      </c>
      <c r="U40" s="94">
        <f>0.714285714285714*(1*100)</f>
        <v>71.428571428571402</v>
      </c>
      <c r="V40" s="94">
        <f>0.698924731182796*(1*100)</f>
        <v>69.892473118279597</v>
      </c>
      <c r="W40" s="94">
        <f>0.613595706618962*(1*100)</f>
        <v>61.3595706618962</v>
      </c>
      <c r="X40" s="94">
        <f>0.700440528634361*(1*100)</f>
        <v>70.044052863436107</v>
      </c>
      <c r="Y40" s="94">
        <f>0.634875444839858*(1*100)</f>
        <v>63.487544483985801</v>
      </c>
      <c r="Z40" s="94">
        <f>0.602739726027397*(1*100)</f>
        <v>60.273972602739704</v>
      </c>
      <c r="AA40" s="94">
        <f>0.62106615285806*(1*100)</f>
        <v>62.106615285806001</v>
      </c>
      <c r="AB40" s="78">
        <v>69.118505545826039</v>
      </c>
      <c r="AC40" s="78">
        <v>63.867684478371501</v>
      </c>
      <c r="AD40" s="94">
        <f>0.638976265370317*(1*100)</f>
        <v>63.897626537031705</v>
      </c>
      <c r="AE40" s="66"/>
      <c r="AF40" s="110"/>
      <c r="AG40" s="111"/>
      <c r="AH40" s="66"/>
      <c r="AI40" s="54">
        <f t="shared" si="0"/>
        <v>0</v>
      </c>
      <c r="AJ40" s="54">
        <f t="shared" si="1"/>
        <v>73.180076628352495</v>
      </c>
      <c r="AK40" s="66"/>
      <c r="AL40" s="66"/>
      <c r="AM40" s="66"/>
      <c r="AN40" s="66"/>
      <c r="AO40" s="78">
        <v>61.81075561606535</v>
      </c>
      <c r="AP40" s="66"/>
      <c r="AQ40" s="86">
        <v>61.81075561606535</v>
      </c>
      <c r="AR40" s="66"/>
      <c r="AS40" s="141">
        <v>67.466986794717883</v>
      </c>
    </row>
    <row r="41" spans="2:45" hidden="1" x14ac:dyDescent="0.25">
      <c r="B41" s="101" t="s">
        <v>69</v>
      </c>
      <c r="C41" s="76" t="s">
        <v>43</v>
      </c>
      <c r="D41" s="102">
        <v>2008</v>
      </c>
      <c r="E41" s="94">
        <v>0</v>
      </c>
      <c r="F41" s="94">
        <f>0.661911554921541*100</f>
        <v>66.191155492154095</v>
      </c>
      <c r="G41" s="94">
        <f>0.644015782551512*(1*100)</f>
        <v>64.401578255151207</v>
      </c>
      <c r="H41" s="94">
        <f>0.587096774193548*(1*100)</f>
        <v>58.709677419354797</v>
      </c>
      <c r="I41" s="94">
        <f>0*(1*100)</f>
        <v>0</v>
      </c>
      <c r="J41" s="94">
        <f>0.635135135135135*(1*100)</f>
        <v>63.513513513513495</v>
      </c>
      <c r="K41" s="94">
        <f>0.611336032388664*(1*100)</f>
        <v>61.133603238866399</v>
      </c>
      <c r="L41" s="94">
        <f>0.618287373004354*(1*100)</f>
        <v>61.8287373004354</v>
      </c>
      <c r="M41" s="94">
        <f>0.605621033544878*(1*100)</f>
        <v>60.562103354487796</v>
      </c>
      <c r="N41" s="94">
        <f>0.639372822299652*(1*100)</f>
        <v>63.937282229965199</v>
      </c>
      <c r="O41" s="94">
        <f>0.624087591240876*(1*100)</f>
        <v>62.408759124087595</v>
      </c>
      <c r="P41" s="94">
        <f>0.660851360781577*(1*100)</f>
        <v>66.085136078157703</v>
      </c>
      <c r="Q41" s="94">
        <f>0.660649819494585*(1*100)</f>
        <v>66.064981949458499</v>
      </c>
      <c r="R41" s="94">
        <f>0.7139896373057*(1*100)</f>
        <v>71.398963730570003</v>
      </c>
      <c r="S41" s="94">
        <f>0.72*(1*100)</f>
        <v>72</v>
      </c>
      <c r="T41" s="94">
        <f>0.742290748898678*(1*100)</f>
        <v>74.229074889867803</v>
      </c>
      <c r="U41" s="94">
        <f>0.666666666666667*(1*100)</f>
        <v>66.6666666666667</v>
      </c>
      <c r="V41" s="94">
        <f>0.692982456140351*(1*100)</f>
        <v>69.298245614035096</v>
      </c>
      <c r="W41" s="94">
        <f>0.648351648351648*(1*100)</f>
        <v>64.835164835164804</v>
      </c>
      <c r="X41" s="94">
        <f>0.672164948453608*(1*100)</f>
        <v>67.216494845360799</v>
      </c>
      <c r="Y41" s="94">
        <f>0.642466585662211*(1*100)</f>
        <v>64.2466585662211</v>
      </c>
      <c r="Z41" s="94">
        <f>0.618219461697723*(1*100)</f>
        <v>61.821946169772303</v>
      </c>
      <c r="AA41" s="94">
        <f>0.636229314420804*(1*100)</f>
        <v>63.6229314420804</v>
      </c>
      <c r="AB41" s="78">
        <v>71.456748379825314</v>
      </c>
      <c r="AC41" s="78">
        <v>65.567533291058979</v>
      </c>
      <c r="AD41" s="94">
        <f>0.656326932545544*(1*100)</f>
        <v>65.632693254554397</v>
      </c>
      <c r="AE41" s="66"/>
      <c r="AF41" s="110"/>
      <c r="AG41" s="111"/>
      <c r="AH41" s="66"/>
      <c r="AI41" s="54">
        <f t="shared" si="0"/>
        <v>0</v>
      </c>
      <c r="AJ41" s="54">
        <f t="shared" si="1"/>
        <v>74.229074889867803</v>
      </c>
      <c r="AK41" s="66"/>
      <c r="AL41" s="66"/>
      <c r="AM41" s="66"/>
      <c r="AN41" s="66"/>
      <c r="AO41" s="78">
        <v>63.220606272998069</v>
      </c>
      <c r="AP41" s="66"/>
      <c r="AQ41" s="86">
        <v>63.220606272998069</v>
      </c>
      <c r="AR41" s="66"/>
      <c r="AS41" s="141">
        <v>69.644947327350764</v>
      </c>
    </row>
    <row r="42" spans="2:45" hidden="1" x14ac:dyDescent="0.25">
      <c r="B42" s="101" t="s">
        <v>70</v>
      </c>
      <c r="C42" s="76" t="s">
        <v>43</v>
      </c>
      <c r="D42" s="102">
        <v>2008</v>
      </c>
      <c r="E42" s="94">
        <f>0.916666666666667*100</f>
        <v>91.6666666666667</v>
      </c>
      <c r="F42" s="94">
        <f>0.725123694337548*100</f>
        <v>72.512369433754799</v>
      </c>
      <c r="G42" s="94">
        <f>0.676932016269611*(1*100)</f>
        <v>67.693201626961098</v>
      </c>
      <c r="H42" s="94">
        <f>0.702801461632156*(1*100)</f>
        <v>70.280146163215591</v>
      </c>
      <c r="I42" s="94">
        <f>0.791970802919708*(1*100)</f>
        <v>79.197080291970806</v>
      </c>
      <c r="J42" s="94">
        <f>0.699099099099099*(1*100)</f>
        <v>69.909909909909899</v>
      </c>
      <c r="K42" s="94">
        <f>0.688007644529384*(1*100)</f>
        <v>68.800764452938395</v>
      </c>
      <c r="L42" s="94">
        <f>0.677049180327869*(1*100)</f>
        <v>67.704918032786892</v>
      </c>
      <c r="M42" s="94">
        <f>0.664793255720594*(1*100)</f>
        <v>66.479325572059395</v>
      </c>
      <c r="N42" s="94">
        <f>0.67097966728281*(1*100)</f>
        <v>67.097966728280994</v>
      </c>
      <c r="O42" s="94">
        <f>0.635160680529301*(1*100)</f>
        <v>63.516068052930095</v>
      </c>
      <c r="P42" s="94">
        <f>0.642396907216495*(1*100)</f>
        <v>64.239690721649495</v>
      </c>
      <c r="Q42" s="94">
        <f>0.624671052631579*(1*100)</f>
        <v>62.467105263157897</v>
      </c>
      <c r="R42" s="94">
        <f>0.566568047337278*(1*100)</f>
        <v>56.656804733727796</v>
      </c>
      <c r="S42" s="94">
        <f>0.571428571428571*(1*100)</f>
        <v>57.142857142857096</v>
      </c>
      <c r="T42" s="94">
        <f>0.702203269367448*(1*100)</f>
        <v>70.220326936744797</v>
      </c>
      <c r="U42" s="94">
        <f>0.617486338797814*(1*100)</f>
        <v>61.748633879781401</v>
      </c>
      <c r="V42" s="94">
        <f>0.610660486674392*(1*100)</f>
        <v>61.066048667439198</v>
      </c>
      <c r="W42" s="94">
        <f>0.560194568301581*(1*100)</f>
        <v>56.019456830158099</v>
      </c>
      <c r="X42" s="94">
        <f>0.730188679245283*(1*100)</f>
        <v>73.018867924528294</v>
      </c>
      <c r="Y42" s="94">
        <f>0.695274040039383*(1*100)</f>
        <v>69.527404003938301</v>
      </c>
      <c r="Z42" s="94">
        <f>0.689481536740022*(1*100)</f>
        <v>68.948153674002199</v>
      </c>
      <c r="AA42" s="78">
        <f>0.650602409638554*(1*100)</f>
        <v>65.060240963855392</v>
      </c>
      <c r="AB42" s="78">
        <v>61.996407492943298</v>
      </c>
      <c r="AC42" s="78">
        <v>59.025692359025697</v>
      </c>
      <c r="AD42" s="94">
        <f>0.652606355042017*(1*100)</f>
        <v>65.260635504201701</v>
      </c>
      <c r="AE42" s="66"/>
      <c r="AF42" s="110"/>
      <c r="AG42" s="111"/>
      <c r="AH42" s="66"/>
      <c r="AI42" s="54">
        <f t="shared" si="0"/>
        <v>56.019456830158099</v>
      </c>
      <c r="AJ42" s="54">
        <f t="shared" si="1"/>
        <v>91.6666666666667</v>
      </c>
      <c r="AK42" s="66"/>
      <c r="AL42" s="66"/>
      <c r="AM42" s="66"/>
      <c r="AN42" s="66"/>
      <c r="AO42" s="78">
        <v>69.25628491620111</v>
      </c>
      <c r="AP42" s="66"/>
      <c r="AQ42" s="86">
        <v>69.25628491620111</v>
      </c>
      <c r="AR42" s="66"/>
      <c r="AS42" s="141">
        <v>61.171346492447412</v>
      </c>
    </row>
    <row r="43" spans="2:45" hidden="1" x14ac:dyDescent="0.25">
      <c r="B43" s="101" t="s">
        <v>71</v>
      </c>
      <c r="C43" s="76" t="s">
        <v>43</v>
      </c>
      <c r="D43" s="102">
        <v>2008</v>
      </c>
      <c r="E43" s="94">
        <f>0.142857142857143*100</f>
        <v>14.285714285714299</v>
      </c>
      <c r="F43" s="94">
        <f>0.190106692531523*100</f>
        <v>19.010669253152301</v>
      </c>
      <c r="G43" s="94">
        <f>0.197235595589377*(1*100)</f>
        <v>19.723559558937701</v>
      </c>
      <c r="H43" s="94">
        <f>0.27514450867052*(1*100)</f>
        <v>27.514450867051998</v>
      </c>
      <c r="I43" s="94">
        <f>0.17864476386037*(1*100)</f>
        <v>17.864476386037001</v>
      </c>
      <c r="J43" s="94">
        <f>0.15967365967366*(1*100)</f>
        <v>15.967365967366002</v>
      </c>
      <c r="K43" s="94">
        <f>0.183350895679663*(1*100)</f>
        <v>18.3350895679663</v>
      </c>
      <c r="L43" s="94">
        <f>0.215845464725644*(1*100)</f>
        <v>21.584546472564401</v>
      </c>
      <c r="M43" s="94">
        <f>0.210185584807941*(1*100)</f>
        <v>21.018558480794098</v>
      </c>
      <c r="N43" s="94">
        <f>0.16588785046729*(1*100)</f>
        <v>16.588785046728997</v>
      </c>
      <c r="O43" s="94">
        <f>0.247848537005164*(1*100)</f>
        <v>24.7848537005164</v>
      </c>
      <c r="P43" s="94">
        <f>0.223514211886305*(1*100)</f>
        <v>22.3514211886305</v>
      </c>
      <c r="Q43" s="94">
        <f>0.261157024793388*(1*100)</f>
        <v>26.115702479338797</v>
      </c>
      <c r="R43" s="94">
        <f>0.233618233618234*(1*100)</f>
        <v>23.361823361823401</v>
      </c>
      <c r="S43" s="94">
        <f>0.5*(1*100)</f>
        <v>50</v>
      </c>
      <c r="T43" s="94">
        <f>0.238289205702648*(1*100)</f>
        <v>23.828920570264799</v>
      </c>
      <c r="U43" s="94">
        <f>0.286486486486487*(1*100)</f>
        <v>28.648648648648699</v>
      </c>
      <c r="V43" s="94">
        <f>0.258548790658882*(1*100)</f>
        <v>25.854879065888198</v>
      </c>
      <c r="W43" s="94">
        <f>0.209580838323353*(1*100)</f>
        <v>20.958083832335301</v>
      </c>
      <c r="X43" s="94">
        <f>0.268571428571429*(1*100)</f>
        <v>26.8571428571429</v>
      </c>
      <c r="Y43" s="94">
        <f>0.201557093425606*(1*100)</f>
        <v>20.155709342560598</v>
      </c>
      <c r="Z43" s="94">
        <f>0.197065297138665*(1*100)</f>
        <v>19.706529713866498</v>
      </c>
      <c r="AA43" s="78">
        <f>0.215646582519648*(1*100)</f>
        <v>21.564658251964801</v>
      </c>
      <c r="AB43" s="78">
        <v>24.290627687016336</v>
      </c>
      <c r="AC43" s="78">
        <v>22.269263336155802</v>
      </c>
      <c r="AD43" s="94">
        <f>0.21374831936379*(1*100)</f>
        <v>21.374831936379</v>
      </c>
      <c r="AE43" s="66"/>
      <c r="AF43" s="110"/>
      <c r="AG43" s="111"/>
      <c r="AH43" s="66"/>
      <c r="AI43" s="54">
        <f t="shared" si="0"/>
        <v>14.285714285714299</v>
      </c>
      <c r="AJ43" s="54">
        <f t="shared" si="1"/>
        <v>50</v>
      </c>
      <c r="AK43" s="66"/>
      <c r="AL43" s="66"/>
      <c r="AM43" s="66"/>
      <c r="AN43" s="66"/>
      <c r="AO43" s="78">
        <v>19.977931354898658</v>
      </c>
      <c r="AP43" s="66"/>
      <c r="AQ43" s="86">
        <v>19.977931354898658</v>
      </c>
      <c r="AR43" s="66"/>
      <c r="AS43" s="141">
        <v>23.779443254817988</v>
      </c>
    </row>
    <row r="44" spans="2:45" hidden="1" x14ac:dyDescent="0.25">
      <c r="B44" s="101" t="s">
        <v>72</v>
      </c>
      <c r="C44" s="76" t="s">
        <v>43</v>
      </c>
      <c r="D44" s="102">
        <v>2008</v>
      </c>
      <c r="E44" s="94">
        <v>0</v>
      </c>
      <c r="F44" s="94">
        <f>0.560955518945634*100</f>
        <v>56.0955518945634</v>
      </c>
      <c r="G44" s="94">
        <f>0.513076557299097*(1*100)</f>
        <v>51.307655729909698</v>
      </c>
      <c r="H44" s="94">
        <f>0.577540106951872*(1*100)</f>
        <v>57.754010695187198</v>
      </c>
      <c r="I44" s="94">
        <f>0.655737704918033*(1*100)</f>
        <v>65.573770491803302</v>
      </c>
      <c r="J44" s="94">
        <f>0.54*(1*100)</f>
        <v>54</v>
      </c>
      <c r="K44" s="94">
        <f>0.475493316359007*(1*100)</f>
        <v>47.5493316359007</v>
      </c>
      <c r="L44" s="94">
        <f>0.550684931506849*(1*100)</f>
        <v>55.068493150684908</v>
      </c>
      <c r="M44" s="94">
        <f>0.570735650767987*(1*100)</f>
        <v>57.073565076798701</v>
      </c>
      <c r="N44" s="94">
        <f>0.492753623188406*(1*100)</f>
        <v>49.2753623188406</v>
      </c>
      <c r="O44" s="94">
        <f>0*(1*100)</f>
        <v>0</v>
      </c>
      <c r="P44" s="94">
        <f>0.512684124386252*(1*100)</f>
        <v>51.268412438625198</v>
      </c>
      <c r="Q44" s="94">
        <f>0.518518518518518*(1*100)</f>
        <v>51.851851851851805</v>
      </c>
      <c r="R44" s="94">
        <f>0.515243902439024*(1*100)</f>
        <v>51.524390243902396</v>
      </c>
      <c r="S44" s="94">
        <f>0.25*(1*100)</f>
        <v>25</v>
      </c>
      <c r="T44" s="94">
        <f>0.486111111111111*(1*100)</f>
        <v>48.6111111111111</v>
      </c>
      <c r="U44" s="94">
        <f>0.619047619047619*(1*100)</f>
        <v>61.904761904761898</v>
      </c>
      <c r="V44" s="94">
        <f>0.533219761499148*(1*100)</f>
        <v>53.321976149914796</v>
      </c>
      <c r="W44" s="94">
        <f>0.458015267175573*(1*100)</f>
        <v>45.801526717557302</v>
      </c>
      <c r="X44" s="94">
        <f>0.488063660477454*(1*100)</f>
        <v>48.806366047745399</v>
      </c>
      <c r="Y44" s="94">
        <f>0.527269589230238*(1*100)</f>
        <v>52.726958923023801</v>
      </c>
      <c r="Z44" s="94">
        <f>0.506891271056662*(1*100)</f>
        <v>50.689127105666202</v>
      </c>
      <c r="AA44" s="78">
        <f>0.528205128205128*(1*100)</f>
        <v>52.820512820512796</v>
      </c>
      <c r="AB44" s="78">
        <v>51.716031969910667</v>
      </c>
      <c r="AC44" s="78">
        <v>46.899224806201552</v>
      </c>
      <c r="AD44" s="94">
        <f>0.518901660280971*(1*100)</f>
        <v>51.890166028097099</v>
      </c>
      <c r="AE44" s="66"/>
      <c r="AF44" s="110"/>
      <c r="AG44" s="111"/>
      <c r="AH44" s="66"/>
      <c r="AI44" s="54">
        <f t="shared" si="0"/>
        <v>0</v>
      </c>
      <c r="AJ44" s="54">
        <f t="shared" si="1"/>
        <v>65.573770491803302</v>
      </c>
      <c r="AK44" s="66"/>
      <c r="AL44" s="66"/>
      <c r="AM44" s="66"/>
      <c r="AN44" s="66"/>
      <c r="AO44" s="78">
        <v>52.093742564834642</v>
      </c>
      <c r="AP44" s="66"/>
      <c r="AQ44" s="86">
        <v>52.093742564834642</v>
      </c>
      <c r="AR44" s="66"/>
      <c r="AS44" s="141">
        <v>50.142450142450144</v>
      </c>
    </row>
    <row r="45" spans="2:45" hidden="1" x14ac:dyDescent="0.25">
      <c r="B45" s="101" t="s">
        <v>73</v>
      </c>
      <c r="C45" s="76" t="s">
        <v>43</v>
      </c>
      <c r="D45" s="102">
        <v>2008</v>
      </c>
      <c r="E45" s="94">
        <v>0</v>
      </c>
      <c r="F45" s="94">
        <f>0.470588235294118*100</f>
        <v>47.058823529411796</v>
      </c>
      <c r="G45" s="94">
        <f>0.459787556904401*(1*100)</f>
        <v>45.978755690440096</v>
      </c>
      <c r="H45" s="94">
        <f>0*(1*100)</f>
        <v>0</v>
      </c>
      <c r="I45" s="94">
        <f>0.428571428571429*(1*100)</f>
        <v>42.857142857142897</v>
      </c>
      <c r="J45" s="94">
        <f>0.443708609271523*(1*100)</f>
        <v>44.3708609271523</v>
      </c>
      <c r="K45" s="94">
        <f>0.351985559566787*(1*100)</f>
        <v>35.198555956678703</v>
      </c>
      <c r="L45" s="94">
        <f>0.476683937823834*(1*100)</f>
        <v>47.668393782383397</v>
      </c>
      <c r="M45" s="94">
        <f>0.437158469945355*(1*100)</f>
        <v>43.715846994535504</v>
      </c>
      <c r="N45" s="94">
        <f>0.401162790697674*(1*100)</f>
        <v>40.116279069767401</v>
      </c>
      <c r="O45" s="94">
        <f>0.472972972972973*(1*100)</f>
        <v>47.297297297297305</v>
      </c>
      <c r="P45" s="94">
        <f>0.239837398373984*(1*100)</f>
        <v>23.983739837398399</v>
      </c>
      <c r="Q45" s="94">
        <f>0.488636363636364*(1*100)</f>
        <v>48.863636363636395</v>
      </c>
      <c r="R45" s="94">
        <f>0.5*(1*100)</f>
        <v>50</v>
      </c>
      <c r="S45" s="94">
        <f>0.517857142857143*(1*100)</f>
        <v>51.785714285714299</v>
      </c>
      <c r="T45" s="94">
        <f>0.434782608695652*(1*100)</f>
        <v>43.478260869565197</v>
      </c>
      <c r="U45" s="94">
        <f>0.441176470588235*(1*100)</f>
        <v>44.117647058823501</v>
      </c>
      <c r="V45" s="94">
        <f>0.401960784313726*(1*100)</f>
        <v>40.196078431372598</v>
      </c>
      <c r="W45" s="94">
        <f>0.317351598173516*(1*100)</f>
        <v>31.735159817351601</v>
      </c>
      <c r="X45" s="94">
        <f>0.4375*(1*100)</f>
        <v>43.75</v>
      </c>
      <c r="Y45" s="94">
        <f>0.463917525773196*(1*100)</f>
        <v>46.3917525773196</v>
      </c>
      <c r="Z45" s="94">
        <f>0.426559356136821*(1*100)</f>
        <v>42.655935613682097</v>
      </c>
      <c r="AA45" s="78">
        <f>0.397813288477712*(1*100)</f>
        <v>39.781328847771199</v>
      </c>
      <c r="AB45" s="78">
        <v>46.590909090909086</v>
      </c>
      <c r="AC45" s="78">
        <v>35.179153094462542</v>
      </c>
      <c r="AD45" s="94">
        <f>0.427429609445958*(1*100)</f>
        <v>42.742960944595801</v>
      </c>
      <c r="AE45" s="66"/>
      <c r="AF45" s="110"/>
      <c r="AG45" s="111"/>
      <c r="AH45" s="66"/>
      <c r="AI45" s="54">
        <f t="shared" si="0"/>
        <v>0</v>
      </c>
      <c r="AJ45" s="54">
        <f t="shared" si="1"/>
        <v>51.785714285714299</v>
      </c>
      <c r="AK45" s="66"/>
      <c r="AL45" s="66"/>
      <c r="AM45" s="66"/>
      <c r="AN45" s="66"/>
      <c r="AO45" s="78">
        <v>44.21422986708366</v>
      </c>
      <c r="AP45" s="66"/>
      <c r="AQ45" s="86">
        <v>44.21422986708366</v>
      </c>
      <c r="AR45" s="66"/>
      <c r="AS45" s="86">
        <v>42.605233219567687</v>
      </c>
    </row>
    <row r="46" spans="2:45" hidden="1" x14ac:dyDescent="0.25">
      <c r="B46" s="101" t="s">
        <v>74</v>
      </c>
      <c r="C46" s="76" t="s">
        <v>43</v>
      </c>
      <c r="D46" s="102">
        <v>2008</v>
      </c>
      <c r="E46" s="94">
        <f>0.72*100</f>
        <v>72</v>
      </c>
      <c r="F46" s="94">
        <f>0.530368244858919*100</f>
        <v>53.036824485891898</v>
      </c>
      <c r="G46" s="94">
        <f>0.485014245014245*(1*100)</f>
        <v>48.501424501424502</v>
      </c>
      <c r="H46" s="94">
        <f>0.445906432748538*(1*100)</f>
        <v>44.590643274853797</v>
      </c>
      <c r="I46" s="94">
        <f>0.552238805970149*(1*100)</f>
        <v>55.223880597014897</v>
      </c>
      <c r="J46" s="94">
        <f>0.548660084626234*(1*100)</f>
        <v>54.866008462623398</v>
      </c>
      <c r="K46" s="94">
        <f>0.551020408163265*(1*100)</f>
        <v>55.1020408163265</v>
      </c>
      <c r="L46" s="94">
        <f>0.505844602337841*(1*100)</f>
        <v>50.5844602337841</v>
      </c>
      <c r="M46" s="94">
        <f>0.527232142857143*(1*100)</f>
        <v>52.723214285714306</v>
      </c>
      <c r="N46" s="94">
        <f>0.535186794092094*(1*100)</f>
        <v>53.518679409209405</v>
      </c>
      <c r="O46" s="94">
        <f>0.547788873038516*(1*100)</f>
        <v>54.778887303851597</v>
      </c>
      <c r="P46" s="94">
        <f>0.463824517955068*(1*100)</f>
        <v>46.382451795506803</v>
      </c>
      <c r="Q46" s="94">
        <f>0.417819590481461*(1*100)</f>
        <v>41.781959048146099</v>
      </c>
      <c r="R46" s="94">
        <f>0.524271844660194*(1*100)</f>
        <v>52.427184466019405</v>
      </c>
      <c r="S46" s="94">
        <f>0.477386934673367*(1*100)</f>
        <v>47.738693467336702</v>
      </c>
      <c r="T46" s="94">
        <f>0.528384279475983*(1*100)</f>
        <v>52.838427947598298</v>
      </c>
      <c r="U46" s="94">
        <f>0*(1*100)</f>
        <v>0</v>
      </c>
      <c r="V46" s="94">
        <f>0.575235109717868*(1*100)</f>
        <v>57.523510971786799</v>
      </c>
      <c r="W46" s="94">
        <f>0.480213428190307*(1*100)</f>
        <v>48.0213428190307</v>
      </c>
      <c r="X46" s="94">
        <f>0.554896142433234*(1*100)</f>
        <v>55.489614243323402</v>
      </c>
      <c r="Y46" s="94">
        <f>0.491403887688985*(1*100)</f>
        <v>49.140388768898504</v>
      </c>
      <c r="Z46" s="94">
        <f>0.526954832442934*(1*100)</f>
        <v>52.695483244293392</v>
      </c>
      <c r="AA46" s="78">
        <f>0.492868137506414*(1*100)</f>
        <v>49.2868137506414</v>
      </c>
      <c r="AB46" s="78">
        <v>50.578569775514929</v>
      </c>
      <c r="AC46" s="78">
        <v>49.74341430037633</v>
      </c>
      <c r="AD46" s="94">
        <f>0.502322414338173*(1*100)</f>
        <v>50.232241433817308</v>
      </c>
      <c r="AE46" s="66"/>
      <c r="AF46" s="110"/>
      <c r="AG46" s="111"/>
      <c r="AH46" s="66"/>
      <c r="AI46" s="54">
        <f t="shared" si="0"/>
        <v>0</v>
      </c>
      <c r="AJ46" s="54">
        <f t="shared" si="1"/>
        <v>72</v>
      </c>
      <c r="AK46" s="66"/>
      <c r="AL46" s="66"/>
      <c r="AM46" s="66"/>
      <c r="AN46" s="66"/>
      <c r="AO46" s="78">
        <v>50.618343344606529</v>
      </c>
      <c r="AP46" s="66"/>
      <c r="AQ46" s="86">
        <v>50.618343344606529</v>
      </c>
      <c r="AR46" s="66"/>
      <c r="AS46" s="141">
        <v>50.367488110678771</v>
      </c>
    </row>
    <row r="47" spans="2:45" hidden="1" x14ac:dyDescent="0.25">
      <c r="B47" s="101" t="s">
        <v>75</v>
      </c>
      <c r="C47" s="76" t="s">
        <v>43</v>
      </c>
      <c r="D47" s="102">
        <v>2008</v>
      </c>
      <c r="E47" s="94">
        <f>0.75*100</f>
        <v>75</v>
      </c>
      <c r="F47" s="94">
        <f>0.645342886386899*100</f>
        <v>64.534288638689901</v>
      </c>
      <c r="G47" s="94">
        <f>0.651807920413239*(1*100)</f>
        <v>65.180792041323897</v>
      </c>
      <c r="H47" s="94">
        <f>0.591269841269841*(1*100)</f>
        <v>59.126984126984098</v>
      </c>
      <c r="I47" s="94">
        <f>0.691906005221932*(1*100)</f>
        <v>69.190600522193208</v>
      </c>
      <c r="J47" s="94">
        <f>0.650475184794087*(1*100)</f>
        <v>65.047518479408694</v>
      </c>
      <c r="K47" s="94">
        <f>0.659334126040428*(1*100)</f>
        <v>65.9334126040428</v>
      </c>
      <c r="L47" s="94">
        <f>0.629343629343629*(1*100)</f>
        <v>62.934362934362895</v>
      </c>
      <c r="M47" s="94">
        <f>0.256316297010608*(1*100)</f>
        <v>25.631629701060799</v>
      </c>
      <c r="N47" s="94">
        <f>0.571757482732157*(1*100)</f>
        <v>57.175748273215696</v>
      </c>
      <c r="O47" s="94">
        <f>0.571752265861027*(1*100)</f>
        <v>57.175226586102703</v>
      </c>
      <c r="P47" s="94">
        <f>0.505488397943588*(1*100)</f>
        <v>50.548839794358798</v>
      </c>
      <c r="Q47" s="94">
        <f>0.5575*(1*100)</f>
        <v>55.75</v>
      </c>
      <c r="R47" s="94">
        <f>0.677221026744544*(1*100)</f>
        <v>67.722102674454405</v>
      </c>
      <c r="S47" s="94">
        <f>0.718085106382979*(1*100)</f>
        <v>71.808510638297889</v>
      </c>
      <c r="T47" s="94">
        <f>0.67972871137905*(1*100)</f>
        <v>67.972871137905003</v>
      </c>
      <c r="U47" s="94">
        <f>0.693181818181818*(1*100)</f>
        <v>69.318181818181799</v>
      </c>
      <c r="V47" s="94">
        <f>0.761767531219981*(1*100)</f>
        <v>76.176753121998104</v>
      </c>
      <c r="W47" s="94">
        <f>0.675929142063216*(1*100)</f>
        <v>67.592914206321595</v>
      </c>
      <c r="X47" s="94">
        <f>0.693735498839907*(1*100)</f>
        <v>69.373549883990705</v>
      </c>
      <c r="Y47" s="94">
        <f>0.646247886591234*(1*100)</f>
        <v>64.624788659123396</v>
      </c>
      <c r="Z47" s="94">
        <f>0.644771241830065*(1*100)</f>
        <v>64.477124183006495</v>
      </c>
      <c r="AA47" s="78">
        <f>0.431008061829569*(1*100)</f>
        <v>43.100806182956902</v>
      </c>
      <c r="AB47" s="78">
        <v>67.234042553191486</v>
      </c>
      <c r="AC47" s="78">
        <v>68.003207698476345</v>
      </c>
      <c r="AD47" s="94">
        <f>0.572884248569421*(1*100)</f>
        <v>57.2884248569421</v>
      </c>
      <c r="AE47" s="66"/>
      <c r="AF47" s="110"/>
      <c r="AG47" s="111"/>
      <c r="AH47" s="66"/>
      <c r="AI47" s="54">
        <f t="shared" si="0"/>
        <v>25.631629701060799</v>
      </c>
      <c r="AJ47" s="54">
        <f t="shared" si="1"/>
        <v>76.176753121998104</v>
      </c>
      <c r="AK47" s="66"/>
      <c r="AL47" s="66"/>
      <c r="AM47" s="66"/>
      <c r="AN47" s="66"/>
      <c r="AO47" s="78">
        <v>64.559345354478964</v>
      </c>
      <c r="AP47" s="66"/>
      <c r="AQ47" s="86">
        <v>64.559345354478964</v>
      </c>
      <c r="AR47" s="66"/>
      <c r="AS47" s="141">
        <v>67.495011790313811</v>
      </c>
    </row>
    <row r="48" spans="2:45" hidden="1" x14ac:dyDescent="0.25">
      <c r="B48" s="101" t="s">
        <v>76</v>
      </c>
      <c r="C48" s="76" t="s">
        <v>43</v>
      </c>
      <c r="D48" s="102">
        <v>2008</v>
      </c>
      <c r="E48" s="94">
        <v>0</v>
      </c>
      <c r="F48" s="94">
        <f>0.645463049579046*100</f>
        <v>64.546304957904596</v>
      </c>
      <c r="G48" s="94">
        <f>0.583727211343687*(1*100)</f>
        <v>58.372721134368696</v>
      </c>
      <c r="H48" s="94">
        <f>0.56*(1*100)</f>
        <v>56.000000000000007</v>
      </c>
      <c r="I48" s="94">
        <f>0.622356495468278*(1*100)</f>
        <v>62.235649546827801</v>
      </c>
      <c r="J48" s="94">
        <f>0.653276955602537*(1*100)</f>
        <v>65.327695560253702</v>
      </c>
      <c r="K48" s="94">
        <f>0.654878048780488*(1*100)</f>
        <v>65.487804878048806</v>
      </c>
      <c r="L48" s="94">
        <f>0.592953175707*(1*100)</f>
        <v>59.2953175707</v>
      </c>
      <c r="M48" s="94">
        <f>0.610059171597633*(1*100)</f>
        <v>61.0059171597633</v>
      </c>
      <c r="N48" s="94">
        <f>0.552147239263804*(1*100)</f>
        <v>55.214723926380401</v>
      </c>
      <c r="O48" s="94">
        <f>0.501246882793017*(1*100)</f>
        <v>50.124688279301701</v>
      </c>
      <c r="P48" s="94">
        <f>0.536467236467236*(1*100)</f>
        <v>53.646723646723601</v>
      </c>
      <c r="Q48" s="94">
        <f>0.602469135802469*(1*100)</f>
        <v>60.246913580246897</v>
      </c>
      <c r="R48" s="94">
        <f>0.583969465648855*(1*100)</f>
        <v>58.396946564885496</v>
      </c>
      <c r="S48" s="94">
        <f>0.468888888888889*(1*100)</f>
        <v>46.8888888888889</v>
      </c>
      <c r="T48" s="94">
        <f>0.619294605809129*(1*100)</f>
        <v>61.929460580912895</v>
      </c>
      <c r="U48" s="94">
        <f>0*(1*100)</f>
        <v>0</v>
      </c>
      <c r="V48" s="94">
        <f>0.633228840125392*(1*100)</f>
        <v>63.322884012539205</v>
      </c>
      <c r="W48" s="94">
        <f>0.652092148566055*(1*100)</f>
        <v>65.209214856605499</v>
      </c>
      <c r="X48" s="94">
        <f>0.650283553875236*(1*100)</f>
        <v>65.02835538752359</v>
      </c>
      <c r="Y48" s="94">
        <f>0.596686336813436*(1*100)</f>
        <v>59.6686336813436</v>
      </c>
      <c r="Z48" s="94">
        <f>0.616503570483999*(1*100)</f>
        <v>61.650357048399897</v>
      </c>
      <c r="AA48" s="78">
        <f>0.555555555555556*(1*100)</f>
        <v>55.5555555555556</v>
      </c>
      <c r="AB48" s="78">
        <v>59.427658338175483</v>
      </c>
      <c r="AC48" s="78">
        <v>65.173192771084345</v>
      </c>
      <c r="AD48" s="94">
        <f>0.59396856743191*(1*100)</f>
        <v>59.396856743190995</v>
      </c>
      <c r="AE48" s="66"/>
      <c r="AF48" s="110"/>
      <c r="AG48" s="111"/>
      <c r="AH48" s="66"/>
      <c r="AI48" s="54">
        <f t="shared" si="0"/>
        <v>0</v>
      </c>
      <c r="AJ48" s="54">
        <f t="shared" si="1"/>
        <v>65.487804878048806</v>
      </c>
      <c r="AK48" s="66"/>
      <c r="AL48" s="66"/>
      <c r="AM48" s="66"/>
      <c r="AN48" s="66"/>
      <c r="AO48" s="78">
        <v>60.583852449004517</v>
      </c>
      <c r="AP48" s="66"/>
      <c r="AQ48" s="86">
        <v>60.583852449004517</v>
      </c>
      <c r="AR48" s="66"/>
      <c r="AS48" s="141">
        <v>61.027253668763102</v>
      </c>
    </row>
    <row r="49" spans="2:45" hidden="1" x14ac:dyDescent="0.25">
      <c r="B49" s="101" t="s">
        <v>77</v>
      </c>
      <c r="C49" s="76" t="s">
        <v>43</v>
      </c>
      <c r="D49" s="102">
        <v>2008</v>
      </c>
      <c r="E49" s="94">
        <v>0</v>
      </c>
      <c r="F49" s="94">
        <f>0.681124497991968*100</f>
        <v>68.112449799196796</v>
      </c>
      <c r="G49" s="94">
        <f>0.676478993998285*(1*100)</f>
        <v>67.647899399828503</v>
      </c>
      <c r="H49" s="94">
        <f>0.637037037037037*(1*100)</f>
        <v>63.703703703703695</v>
      </c>
      <c r="I49" s="94">
        <f>0.677902621722846*(1*100)</f>
        <v>67.790262172284599</v>
      </c>
      <c r="J49" s="94">
        <f>0.702412868632708*(1*100)</f>
        <v>70.241286863270801</v>
      </c>
      <c r="K49" s="94">
        <f>0.700048146364949*(1*100)</f>
        <v>70.004814636494899</v>
      </c>
      <c r="L49" s="94">
        <f>0.680631451123254*(1*100)</f>
        <v>68.063145112325401</v>
      </c>
      <c r="M49" s="94">
        <f>0.683839718185821*(1*100)</f>
        <v>68.383971818582097</v>
      </c>
      <c r="N49" s="94">
        <f>0.723958333333333*(1*100)</f>
        <v>72.3958333333333</v>
      </c>
      <c r="O49" s="94">
        <f>0.740549828178694*(1*100)</f>
        <v>74.054982817869401</v>
      </c>
      <c r="P49" s="94">
        <f>0.717344753747323*(1*100)</f>
        <v>71.734475374732298</v>
      </c>
      <c r="Q49" s="94">
        <f>0.766004415011038*(1*100)</f>
        <v>76.600441501103802</v>
      </c>
      <c r="R49" s="94">
        <f>0.763435700575816*(1*100)</f>
        <v>76.343570057581601</v>
      </c>
      <c r="S49" s="94">
        <f>0.804878048780488*(1*100)</f>
        <v>80.487804878048792</v>
      </c>
      <c r="T49" s="94">
        <f>0.750857927247769*(1*100)</f>
        <v>75.085792724776894</v>
      </c>
      <c r="U49" s="94">
        <f>0.804878048780488*(1*100)</f>
        <v>80.487804878048792</v>
      </c>
      <c r="V49" s="94">
        <f>0.723856209150327*(1*100)</f>
        <v>72.385620915032703</v>
      </c>
      <c r="W49" s="94">
        <f>0.73953488372093*(1*100)</f>
        <v>73.953488372093005</v>
      </c>
      <c r="X49" s="94">
        <f>0.71462829736211*(1*100)</f>
        <v>71.462829736210992</v>
      </c>
      <c r="Y49" s="94">
        <f>0.673542770628312*(1*100)</f>
        <v>67.354277062831201</v>
      </c>
      <c r="Z49" s="94">
        <f>0.688570953252371*(1*100)</f>
        <v>68.857095325237111</v>
      </c>
      <c r="AA49" s="78">
        <f>0.709643605870021*(1*100)</f>
        <v>70.964360587002091</v>
      </c>
      <c r="AB49" s="78">
        <v>75.576231761471774</v>
      </c>
      <c r="AC49" s="78">
        <v>73.467477772578377</v>
      </c>
      <c r="AD49" s="94">
        <f>0.707866475400302*(1*100)</f>
        <v>70.786647540030202</v>
      </c>
      <c r="AE49" s="66"/>
      <c r="AF49" s="110"/>
      <c r="AG49" s="111"/>
      <c r="AH49" s="66"/>
      <c r="AI49" s="54">
        <f t="shared" si="0"/>
        <v>0</v>
      </c>
      <c r="AJ49" s="54">
        <f t="shared" si="1"/>
        <v>80.487804878048792</v>
      </c>
      <c r="AK49" s="66"/>
      <c r="AL49" s="66"/>
      <c r="AM49" s="66"/>
      <c r="AN49" s="66"/>
      <c r="AO49" s="78">
        <v>68.15405046480744</v>
      </c>
      <c r="AP49" s="66"/>
      <c r="AQ49" s="86">
        <v>68.15405046480744</v>
      </c>
      <c r="AR49" s="66"/>
      <c r="AS49" s="141">
        <v>74.919895135450048</v>
      </c>
    </row>
    <row r="50" spans="2:45" hidden="1" x14ac:dyDescent="0.25">
      <c r="B50" s="101" t="s">
        <v>78</v>
      </c>
      <c r="C50" s="76" t="s">
        <v>43</v>
      </c>
      <c r="D50" s="102">
        <v>2008</v>
      </c>
      <c r="E50" s="94">
        <f>0.785714285714286*100</f>
        <v>78.571428571428598</v>
      </c>
      <c r="F50" s="94">
        <f>0.871838111298482*100</f>
        <v>87.183811129848195</v>
      </c>
      <c r="G50" s="94">
        <f>0.899666790077749*(1*100)</f>
        <v>89.9666790077749</v>
      </c>
      <c r="H50" s="94">
        <f>0.878481012658228*(1*100)</f>
        <v>87.848101265822791</v>
      </c>
      <c r="I50" s="94">
        <f>0.877637130801688*(1*100)</f>
        <v>87.763713080168799</v>
      </c>
      <c r="J50" s="94">
        <f>0.867697594501718*(1*100)</f>
        <v>86.769759450171804</v>
      </c>
      <c r="K50" s="94">
        <f>0.838356164383562*(1*100)</f>
        <v>83.835616438356197</v>
      </c>
      <c r="L50" s="94">
        <f>0.875918367346939*(1*100)</f>
        <v>87.591836734693899</v>
      </c>
      <c r="M50" s="94">
        <f>0.844339622641509*(1*100)</f>
        <v>84.433962264150892</v>
      </c>
      <c r="N50" s="94">
        <f>0.877675840978593*(1*100)</f>
        <v>87.767584097859299</v>
      </c>
      <c r="O50" s="94">
        <f>0.830508474576271*(1*100)</f>
        <v>83.0508474576271</v>
      </c>
      <c r="P50" s="94">
        <f>0.85556114745848*(1*100)</f>
        <v>85.556114745848006</v>
      </c>
      <c r="Q50" s="94">
        <f>0.868534482758621*(1*100)</f>
        <v>86.853448275862092</v>
      </c>
      <c r="R50" s="94">
        <f>0.887532133676093*(1*100)</f>
        <v>88.753213367609291</v>
      </c>
      <c r="S50" s="94">
        <f>0*(1*100)</f>
        <v>0</v>
      </c>
      <c r="T50" s="94">
        <f>0.90193842645382*(1*100)</f>
        <v>90.193842645382006</v>
      </c>
      <c r="U50" s="94">
        <f>0.869158878504673*(1*100)</f>
        <v>86.9158878504673</v>
      </c>
      <c r="V50" s="94">
        <f>0.867313915857605*(1*100)</f>
        <v>86.731391585760491</v>
      </c>
      <c r="W50" s="94">
        <f>0.846743295019157*(1*100)</f>
        <v>84.674329501915707</v>
      </c>
      <c r="X50" s="94">
        <f>0.855203619909502*(1*100)</f>
        <v>85.520361990950207</v>
      </c>
      <c r="Y50" s="94">
        <f>0.892519578719957*(1*100)</f>
        <v>89.2519578719957</v>
      </c>
      <c r="Z50" s="94">
        <f>0.857069010080124*(1*100)</f>
        <v>85.706901008012409</v>
      </c>
      <c r="AA50" s="78">
        <f>0.852762510847556*(1*100)</f>
        <v>85.2762510847556</v>
      </c>
      <c r="AB50" s="78">
        <v>88.620585571989125</v>
      </c>
      <c r="AC50" s="78">
        <v>84.822134387351781</v>
      </c>
      <c r="AD50" s="94">
        <f>0.869994233356827*(1*100)</f>
        <v>86.999423335682707</v>
      </c>
      <c r="AE50" s="66"/>
      <c r="AF50" s="110"/>
      <c r="AG50" s="111"/>
      <c r="AH50" s="66"/>
      <c r="AI50" s="54">
        <f t="shared" si="0"/>
        <v>0</v>
      </c>
      <c r="AJ50" s="54">
        <f t="shared" si="1"/>
        <v>90.193842645382006</v>
      </c>
      <c r="AK50" s="66"/>
      <c r="AL50" s="66"/>
      <c r="AM50" s="66"/>
      <c r="AN50" s="66"/>
      <c r="AO50" s="78">
        <v>87.440570522979399</v>
      </c>
      <c r="AP50" s="66"/>
      <c r="AQ50" s="86">
        <v>87.440570522979399</v>
      </c>
      <c r="AR50" s="66"/>
      <c r="AS50" s="141">
        <v>87.570991699432071</v>
      </c>
    </row>
    <row r="51" spans="2:45" hidden="1" x14ac:dyDescent="0.25">
      <c r="B51" s="101" t="s">
        <v>79</v>
      </c>
      <c r="C51" s="76" t="s">
        <v>43</v>
      </c>
      <c r="D51" s="102">
        <v>2008</v>
      </c>
      <c r="E51" s="94">
        <f>1*100</f>
        <v>100</v>
      </c>
      <c r="F51" s="94">
        <f>0.896013864818024*100</f>
        <v>89.601386481802408</v>
      </c>
      <c r="G51" s="94">
        <f>0.915623298856832*(1*100)</f>
        <v>91.562329885683198</v>
      </c>
      <c r="H51" s="94">
        <f>0.910614525139665*(1*100)</f>
        <v>91.061452513966501</v>
      </c>
      <c r="I51" s="94">
        <f>0.94238683127572*(1*100)</f>
        <v>94.238683127572003</v>
      </c>
      <c r="J51" s="94">
        <f>0.944444444444444*(1*100)</f>
        <v>94.4444444444444</v>
      </c>
      <c r="K51" s="94">
        <f>0.914794007490637*(1*100)</f>
        <v>91.4794007490637</v>
      </c>
      <c r="L51" s="94">
        <f>0.908792111750205*(1*100)</f>
        <v>90.879211175020501</v>
      </c>
      <c r="M51" s="94">
        <f>0.894736842105263*(1*100)</f>
        <v>89.473684210526301</v>
      </c>
      <c r="N51" s="94">
        <f>0.933006535947712*(1*100)</f>
        <v>93.300653594771205</v>
      </c>
      <c r="O51" s="94">
        <f>0.742092457420925*(1*100)</f>
        <v>74.209245742092506</v>
      </c>
      <c r="P51" s="94">
        <f>0.910240202275601*(1*100)</f>
        <v>91.024020227560101</v>
      </c>
      <c r="Q51" s="94">
        <f>0.946808510638298*(1*100)</f>
        <v>94.680851063829792</v>
      </c>
      <c r="R51" s="94">
        <f>0.956485355648536*(1*100)</f>
        <v>95.648535564853603</v>
      </c>
      <c r="S51" s="94">
        <f>0.978723404255319*(1*100)</f>
        <v>97.872340425531902</v>
      </c>
      <c r="T51" s="94">
        <f>0.925997425997426*(1*100)</f>
        <v>92.599742599742598</v>
      </c>
      <c r="U51" s="94">
        <f>0.950980392156863*(1*100)</f>
        <v>95.098039215686299</v>
      </c>
      <c r="V51" s="94">
        <f>0.952789699570815*(1*100)</f>
        <v>95.2789699570815</v>
      </c>
      <c r="W51" s="94">
        <f>0.933182332955832*(1*100)</f>
        <v>93.318233295583198</v>
      </c>
      <c r="X51" s="94">
        <f>0.951612903225806*(1*100)</f>
        <v>95.161290322580612</v>
      </c>
      <c r="Y51" s="94">
        <f>0.911754197927831*(1*100)</f>
        <v>91.175419792783103</v>
      </c>
      <c r="Z51" s="78">
        <f>0.916909620991254*(1*100)</f>
        <v>91.6909620991254</v>
      </c>
      <c r="AA51" s="78">
        <f>0.890160891089109*(1*100)</f>
        <v>89.016089108910904</v>
      </c>
      <c r="AB51" s="78">
        <v>94.219653179190757</v>
      </c>
      <c r="AC51" s="78">
        <v>93.638914873713759</v>
      </c>
      <c r="AD51" s="94">
        <f>0.918875669658387*(1*100)</f>
        <v>91.887566965838701</v>
      </c>
      <c r="AE51" s="66"/>
      <c r="AF51" s="110"/>
      <c r="AG51" s="111"/>
      <c r="AH51" s="66"/>
      <c r="AI51" s="54">
        <f t="shared" si="0"/>
        <v>74.209245742092506</v>
      </c>
      <c r="AJ51" s="54">
        <f t="shared" si="1"/>
        <v>100</v>
      </c>
      <c r="AK51" s="66"/>
      <c r="AL51" s="66"/>
      <c r="AM51" s="66"/>
      <c r="AN51" s="66"/>
      <c r="AO51" s="78">
        <v>91.430633231102291</v>
      </c>
      <c r="AP51" s="66"/>
      <c r="AQ51" s="86">
        <v>91.430633231102291</v>
      </c>
      <c r="AR51" s="66"/>
      <c r="AS51" s="141">
        <v>93.9978563772776</v>
      </c>
    </row>
    <row r="52" spans="2:45" hidden="1" x14ac:dyDescent="0.25">
      <c r="B52" s="101" t="s">
        <v>80</v>
      </c>
      <c r="C52" s="76" t="s">
        <v>43</v>
      </c>
      <c r="D52" s="102">
        <v>2008</v>
      </c>
      <c r="E52" s="94">
        <f>0.854166666666667*100</f>
        <v>85.4166666666667</v>
      </c>
      <c r="F52" s="94">
        <f>0.83147853736089*100</f>
        <v>83.14785373608899</v>
      </c>
      <c r="G52" s="94">
        <f>0.840683572216097*(1*100)</f>
        <v>84.068357221609702</v>
      </c>
      <c r="H52" s="94">
        <f>0.8125*(1*100)</f>
        <v>81.25</v>
      </c>
      <c r="I52" s="94">
        <f>0.666666666666667*(1*100)</f>
        <v>66.6666666666667</v>
      </c>
      <c r="J52" s="94">
        <f>0.78169014084507*(1*100)</f>
        <v>78.169014084507012</v>
      </c>
      <c r="K52" s="94">
        <f>0.835631549917264*(1*100)</f>
        <v>83.563154991726392</v>
      </c>
      <c r="L52" s="94">
        <f>0.805436337625179*(1*100)</f>
        <v>80.543633762517899</v>
      </c>
      <c r="M52" s="94">
        <f>0.804170444242974*(1*100)</f>
        <v>80.417044424297401</v>
      </c>
      <c r="N52" s="94">
        <f>0.818696883852691*(1*100)</f>
        <v>81.8696883852691</v>
      </c>
      <c r="O52" s="94">
        <f>0*(1*100)</f>
        <v>0</v>
      </c>
      <c r="P52" s="94">
        <f>0.841093549765058*(1*100)</f>
        <v>84.109354976505799</v>
      </c>
      <c r="Q52" s="94">
        <f>0.731896551724138*(1*100)</f>
        <v>73.189655172413808</v>
      </c>
      <c r="R52" s="94">
        <f>0.847141190198366*(1*100)</f>
        <v>84.714119019836602</v>
      </c>
      <c r="S52" s="94">
        <f>0*(1*100)</f>
        <v>0</v>
      </c>
      <c r="T52" s="94">
        <f>0.909348441926346*(1*100)</f>
        <v>90.9348441926346</v>
      </c>
      <c r="U52" s="94">
        <f>0*(1*100)</f>
        <v>0</v>
      </c>
      <c r="V52" s="94">
        <f>0*(1*100)</f>
        <v>0</v>
      </c>
      <c r="W52" s="94">
        <f>0.907834101382488*(1*100)</f>
        <v>90.783410138248797</v>
      </c>
      <c r="X52" s="94">
        <f>0.849122807017544*(1*100)</f>
        <v>84.912280701754398</v>
      </c>
      <c r="Y52" s="94">
        <f>0.837342497136312*(1*100)</f>
        <v>83.734249713631201</v>
      </c>
      <c r="Z52" s="94">
        <f>0.819488257974062*(1*100)</f>
        <v>81.948825797406201</v>
      </c>
      <c r="AA52" s="78">
        <f>0.828285488543587*(1*100)</f>
        <v>82.828548854358701</v>
      </c>
      <c r="AB52" s="78">
        <v>80</v>
      </c>
      <c r="AC52" s="78">
        <v>89.729048519218651</v>
      </c>
      <c r="AD52" s="94">
        <f>0.831392711326176*(1*100)</f>
        <v>83.139271132617594</v>
      </c>
      <c r="AE52" s="66"/>
      <c r="AF52" s="110"/>
      <c r="AG52" s="111"/>
      <c r="AH52" s="66"/>
      <c r="AI52" s="54">
        <f t="shared" si="0"/>
        <v>0</v>
      </c>
      <c r="AJ52" s="54">
        <f t="shared" si="1"/>
        <v>90.9348441926346</v>
      </c>
      <c r="AK52" s="66"/>
      <c r="AL52" s="66"/>
      <c r="AM52" s="66"/>
      <c r="AN52" s="66"/>
      <c r="AO52" s="78">
        <v>82.80336257309942</v>
      </c>
      <c r="AP52" s="66"/>
      <c r="AQ52" s="86">
        <v>82.80336257309942</v>
      </c>
      <c r="AR52" s="66"/>
      <c r="AS52" s="86">
        <v>83.901945918625216</v>
      </c>
    </row>
    <row r="53" spans="2:45" hidden="1" x14ac:dyDescent="0.25">
      <c r="B53" s="101" t="s">
        <v>81</v>
      </c>
      <c r="C53" s="76" t="s">
        <v>43</v>
      </c>
      <c r="D53" s="102">
        <v>2008</v>
      </c>
      <c r="E53" s="94">
        <v>0</v>
      </c>
      <c r="F53" s="94">
        <f>0.451515151515152*100</f>
        <v>45.151515151515198</v>
      </c>
      <c r="G53" s="94">
        <f>0.434704830053667*(1*100)</f>
        <v>43.470483005366702</v>
      </c>
      <c r="H53" s="94">
        <f>0.644444444444444*(1*100)</f>
        <v>64.4444444444444</v>
      </c>
      <c r="I53" s="94">
        <f>0*(1*100)</f>
        <v>0</v>
      </c>
      <c r="J53" s="94">
        <f>0.428571428571429*(1*100)</f>
        <v>42.857142857142897</v>
      </c>
      <c r="K53" s="94">
        <f>0.556910569105691*(1*100)</f>
        <v>55.691056910569102</v>
      </c>
      <c r="L53" s="94">
        <f>0.470308788598575*(1*100)</f>
        <v>47.030878859857502</v>
      </c>
      <c r="M53" s="94">
        <f>0.358778625954198*(1*100)</f>
        <v>35.877862595419799</v>
      </c>
      <c r="N53" s="94">
        <f>0.391836734693878*(1*100)</f>
        <v>39.183673469387799</v>
      </c>
      <c r="O53" s="94">
        <f>0.425*(1*100)</f>
        <v>42.5</v>
      </c>
      <c r="P53" s="94">
        <f>0.403022670025189*(1*100)</f>
        <v>40.302267002518896</v>
      </c>
      <c r="Q53" s="94">
        <f>0.4*(1*100)</f>
        <v>40</v>
      </c>
      <c r="R53" s="94">
        <f>0.361477572559367*(1*100)</f>
        <v>36.147757255936703</v>
      </c>
      <c r="S53" s="94">
        <f>0.39622641509434*(1*100)</f>
        <v>39.622641509433997</v>
      </c>
      <c r="T53" s="94">
        <f>0.436213991769547*(1*100)</f>
        <v>43.621399176954704</v>
      </c>
      <c r="U53" s="94">
        <f>0.388888888888889*(1*100)</f>
        <v>38.8888888888889</v>
      </c>
      <c r="V53" s="94">
        <f>0.366666666666667*(1*100)</f>
        <v>36.6666666666667</v>
      </c>
      <c r="W53" s="94">
        <f>0.438524590163934*(1*100)</f>
        <v>43.852459016393404</v>
      </c>
      <c r="X53" s="94">
        <f>0.611111111111111*(1*100)</f>
        <v>61.111111111111107</v>
      </c>
      <c r="Y53" s="94">
        <f>0.450749464668094*(1*100)</f>
        <v>45.074946466809401</v>
      </c>
      <c r="Z53" s="94">
        <f>0.494623655913978*(1*100)</f>
        <v>49.462365591397798</v>
      </c>
      <c r="AA53" s="78">
        <f>0.396416573348264*(1*100)</f>
        <v>39.641657334826405</v>
      </c>
      <c r="AB53" s="78">
        <v>39.081385979049152</v>
      </c>
      <c r="AC53" s="78">
        <v>46.979865771812079</v>
      </c>
      <c r="AD53" s="94">
        <f>0.430170316301703*(1*100)</f>
        <v>43.017031630170301</v>
      </c>
      <c r="AE53" s="66"/>
      <c r="AF53" s="110"/>
      <c r="AG53" s="111"/>
      <c r="AH53" s="66"/>
      <c r="AI53" s="54">
        <f t="shared" si="0"/>
        <v>0</v>
      </c>
      <c r="AJ53" s="54">
        <f t="shared" si="1"/>
        <v>64.4444444444444</v>
      </c>
      <c r="AK53" s="66"/>
      <c r="AL53" s="66"/>
      <c r="AM53" s="66"/>
      <c r="AN53" s="66"/>
      <c r="AO53" s="78">
        <v>47.020262216924912</v>
      </c>
      <c r="AP53" s="66"/>
      <c r="AQ53" s="86">
        <v>47.020262216924912</v>
      </c>
      <c r="AR53" s="66"/>
      <c r="AS53" s="86">
        <v>40.610786224821311</v>
      </c>
    </row>
    <row r="54" spans="2:45" hidden="1" x14ac:dyDescent="0.25">
      <c r="B54" s="101" t="s">
        <v>82</v>
      </c>
      <c r="C54" s="76" t="s">
        <v>43</v>
      </c>
      <c r="D54" s="102">
        <v>2008</v>
      </c>
      <c r="E54" s="94">
        <v>0</v>
      </c>
      <c r="F54" s="94">
        <f>0.0805970149253731*100</f>
        <v>8.0597014925373109</v>
      </c>
      <c r="G54" s="94">
        <f>0.256756756756757*(1*100)</f>
        <v>25.675675675675702</v>
      </c>
      <c r="H54" s="94">
        <f>0*(1*100)</f>
        <v>0</v>
      </c>
      <c r="I54" s="94">
        <f>0*(1*100)</f>
        <v>0</v>
      </c>
      <c r="J54" s="94">
        <f>0*(1*100)</f>
        <v>0</v>
      </c>
      <c r="K54" s="94">
        <f>0*(1*100)</f>
        <v>0</v>
      </c>
      <c r="L54" s="94">
        <f>0*(1*100)</f>
        <v>0</v>
      </c>
      <c r="M54" s="94">
        <f>0.127208480565371*(1*100)</f>
        <v>12.7208480565371</v>
      </c>
      <c r="N54" s="94">
        <f>0*(1*100)</f>
        <v>0</v>
      </c>
      <c r="O54" s="94">
        <f>0*(1*100)</f>
        <v>0</v>
      </c>
      <c r="P54" s="94">
        <f>0.128*(1*100)</f>
        <v>12.8</v>
      </c>
      <c r="Q54" s="94">
        <f>0*(1*100)</f>
        <v>0</v>
      </c>
      <c r="R54" s="94">
        <f>0.0975609756097561*(1*100)</f>
        <v>9.7560975609756095</v>
      </c>
      <c r="S54" s="94">
        <f t="shared" ref="S54:X54" si="6">0*(1*100)</f>
        <v>0</v>
      </c>
      <c r="T54" s="94">
        <f t="shared" si="6"/>
        <v>0</v>
      </c>
      <c r="U54" s="94">
        <f t="shared" si="6"/>
        <v>0</v>
      </c>
      <c r="V54" s="94">
        <f t="shared" si="6"/>
        <v>0</v>
      </c>
      <c r="W54" s="94">
        <f t="shared" si="6"/>
        <v>0</v>
      </c>
      <c r="X54" s="94">
        <f t="shared" si="6"/>
        <v>0</v>
      </c>
      <c r="Y54" s="94">
        <f>0.112469437652812*(1*100)</f>
        <v>11.2469437652812</v>
      </c>
      <c r="Z54" s="94">
        <f>0*(1*100)</f>
        <v>0</v>
      </c>
      <c r="AA54" s="94">
        <f>0.127450980392157*(1*100)</f>
        <v>12.7450980392157</v>
      </c>
      <c r="AB54" s="78">
        <v>9.7560975609756095</v>
      </c>
      <c r="AC54" s="78">
        <v>0</v>
      </c>
      <c r="AD54" s="94">
        <f>0.117908787541713*(1*100)</f>
        <v>11.790878754171299</v>
      </c>
      <c r="AE54" s="66"/>
      <c r="AF54" s="110"/>
      <c r="AG54" s="111"/>
      <c r="AH54" s="66"/>
      <c r="AI54" s="54">
        <f t="shared" si="0"/>
        <v>0</v>
      </c>
      <c r="AJ54" s="54">
        <f t="shared" si="1"/>
        <v>25.675675675675702</v>
      </c>
      <c r="AK54" s="66"/>
      <c r="AL54" s="66"/>
      <c r="AM54" s="66"/>
      <c r="AN54" s="66"/>
      <c r="AO54" s="78">
        <v>11.246943765281173</v>
      </c>
      <c r="AP54" s="66"/>
      <c r="AQ54" s="86">
        <v>11.246943765281173</v>
      </c>
      <c r="AR54" s="66"/>
      <c r="AS54" s="86">
        <v>9.7560975609756095</v>
      </c>
    </row>
    <row r="55" spans="2:45" hidden="1" x14ac:dyDescent="0.25">
      <c r="B55" s="51"/>
      <c r="C55" s="55"/>
      <c r="D55" s="55"/>
      <c r="E55" s="54">
        <v>51</v>
      </c>
      <c r="F55" s="54">
        <f t="shared" ref="F55:F83" si="7">+F54+0.1</f>
        <v>8.1597014925373106</v>
      </c>
      <c r="G55" s="54">
        <f t="shared" ref="G55:G83" si="8">+G54+0.1</f>
        <v>25.775675675675704</v>
      </c>
      <c r="H55" s="54">
        <f t="shared" ref="H55:H83" si="9">+H54+0.1</f>
        <v>0.1</v>
      </c>
      <c r="I55" s="54">
        <f t="shared" ref="I55:I83" si="10">+I54+0.1</f>
        <v>0.1</v>
      </c>
      <c r="J55" s="54">
        <f t="shared" ref="J55:J83" si="11">+J54+0.1</f>
        <v>0.1</v>
      </c>
      <c r="K55" s="54">
        <f t="shared" ref="K55:K83" si="12">+K54+0.1</f>
        <v>0.1</v>
      </c>
      <c r="L55" s="54">
        <f t="shared" ref="L55:L83" si="13">+L54+0.1</f>
        <v>0.1</v>
      </c>
      <c r="M55" s="54">
        <f t="shared" ref="M55:M83" si="14">+M54+0.1</f>
        <v>12.8208480565371</v>
      </c>
      <c r="N55" s="54">
        <f t="shared" ref="N55:N83" si="15">+N54+0.1</f>
        <v>0.1</v>
      </c>
      <c r="O55" s="54">
        <f t="shared" ref="O55:O83" si="16">+O54+0.1</f>
        <v>0.1</v>
      </c>
      <c r="P55" s="54">
        <f t="shared" ref="P55:P83" si="17">+P54+0.1</f>
        <v>12.9</v>
      </c>
      <c r="Q55" s="54">
        <f t="shared" ref="Q55:Q83" si="18">+Q54+0.1</f>
        <v>0.1</v>
      </c>
      <c r="R55" s="54">
        <f t="shared" ref="R55:R83" si="19">+R54+0.1</f>
        <v>9.8560975609756092</v>
      </c>
      <c r="S55" s="54">
        <f t="shared" ref="S55:S83" si="20">+S54+0.1</f>
        <v>0.1</v>
      </c>
      <c r="T55" s="54">
        <f t="shared" ref="T55:T83" si="21">+T54+0.1</f>
        <v>0.1</v>
      </c>
      <c r="U55" s="54">
        <f t="shared" ref="U55:U83" si="22">+U54+0.1</f>
        <v>0.1</v>
      </c>
      <c r="V55" s="54">
        <f t="shared" ref="V55:V83" si="23">+V54+0.1</f>
        <v>0.1</v>
      </c>
      <c r="W55" s="54">
        <f t="shared" ref="W55:W83" si="24">+W54+0.1</f>
        <v>0.1</v>
      </c>
      <c r="X55" s="54">
        <f t="shared" ref="X55:X83" si="25">+X54+0.1</f>
        <v>0.1</v>
      </c>
      <c r="Y55" s="54">
        <f t="shared" ref="Y55:Y83" si="26">+Y54+0.1</f>
        <v>11.3469437652812</v>
      </c>
      <c r="Z55" s="54">
        <f t="shared" ref="Z55:Z83" si="27">+Z54+0.1</f>
        <v>0.1</v>
      </c>
      <c r="AA55" s="54">
        <f t="shared" ref="AA55:AA83" si="28">+AA54+0.1</f>
        <v>12.845098039215699</v>
      </c>
      <c r="AB55" s="54">
        <f t="shared" ref="AB55:AB83" si="29">+AB54+0.1</f>
        <v>9.8560975609756092</v>
      </c>
      <c r="AC55" s="54">
        <f t="shared" ref="AC55:AC83" si="30">+AC54+0.1</f>
        <v>0.1</v>
      </c>
      <c r="AD55" s="54">
        <f t="shared" ref="AD55:AD83" si="31">+AD54+0.1</f>
        <v>11.890878754171299</v>
      </c>
      <c r="AF55" s="54"/>
      <c r="AG55" s="54"/>
      <c r="AI55" s="54">
        <f t="shared" ref="AI55:AI86" si="32">MIN(E55:AD55)</f>
        <v>0.1</v>
      </c>
      <c r="AJ55" s="54">
        <f t="shared" ref="AJ55:AJ86" si="33">MAX(E55:AD55)</f>
        <v>51</v>
      </c>
    </row>
    <row r="56" spans="2:45" hidden="1" x14ac:dyDescent="0.25">
      <c r="B56" s="51"/>
      <c r="C56" s="55"/>
      <c r="D56" s="55"/>
      <c r="E56" s="54">
        <v>52</v>
      </c>
      <c r="F56" s="54">
        <f t="shared" si="7"/>
        <v>8.2597014925373102</v>
      </c>
      <c r="G56" s="54">
        <f t="shared" si="8"/>
        <v>25.875675675675705</v>
      </c>
      <c r="H56" s="54">
        <f t="shared" si="9"/>
        <v>0.2</v>
      </c>
      <c r="I56" s="54">
        <f t="shared" si="10"/>
        <v>0.2</v>
      </c>
      <c r="J56" s="54">
        <f t="shared" si="11"/>
        <v>0.2</v>
      </c>
      <c r="K56" s="54">
        <f t="shared" si="12"/>
        <v>0.2</v>
      </c>
      <c r="L56" s="54">
        <f t="shared" si="13"/>
        <v>0.2</v>
      </c>
      <c r="M56" s="54">
        <f t="shared" si="14"/>
        <v>12.9208480565371</v>
      </c>
      <c r="N56" s="54">
        <f t="shared" si="15"/>
        <v>0.2</v>
      </c>
      <c r="O56" s="54">
        <f t="shared" si="16"/>
        <v>0.2</v>
      </c>
      <c r="P56" s="54">
        <f t="shared" si="17"/>
        <v>13</v>
      </c>
      <c r="Q56" s="54">
        <f t="shared" si="18"/>
        <v>0.2</v>
      </c>
      <c r="R56" s="54">
        <f t="shared" si="19"/>
        <v>9.9560975609756088</v>
      </c>
      <c r="S56" s="54">
        <f t="shared" si="20"/>
        <v>0.2</v>
      </c>
      <c r="T56" s="54">
        <f t="shared" si="21"/>
        <v>0.2</v>
      </c>
      <c r="U56" s="54">
        <f t="shared" si="22"/>
        <v>0.2</v>
      </c>
      <c r="V56" s="54">
        <f t="shared" si="23"/>
        <v>0.2</v>
      </c>
      <c r="W56" s="54">
        <f t="shared" si="24"/>
        <v>0.2</v>
      </c>
      <c r="X56" s="54">
        <f t="shared" si="25"/>
        <v>0.2</v>
      </c>
      <c r="Y56" s="54">
        <f t="shared" si="26"/>
        <v>11.446943765281199</v>
      </c>
      <c r="Z56" s="54">
        <f t="shared" si="27"/>
        <v>0.2</v>
      </c>
      <c r="AA56" s="54">
        <f t="shared" si="28"/>
        <v>12.945098039215699</v>
      </c>
      <c r="AB56" s="54">
        <f t="shared" si="29"/>
        <v>9.9560975609756088</v>
      </c>
      <c r="AC56" s="54">
        <f t="shared" si="30"/>
        <v>0.2</v>
      </c>
      <c r="AD56" s="54">
        <f t="shared" si="31"/>
        <v>11.990878754171298</v>
      </c>
      <c r="AF56" s="54"/>
      <c r="AG56" s="54"/>
      <c r="AI56" s="54">
        <f t="shared" si="32"/>
        <v>0.2</v>
      </c>
      <c r="AJ56" s="54">
        <f t="shared" si="33"/>
        <v>52</v>
      </c>
    </row>
    <row r="57" spans="2:45" hidden="1" x14ac:dyDescent="0.25">
      <c r="B57" s="51"/>
      <c r="C57" s="55"/>
      <c r="D57" s="55"/>
      <c r="E57" s="54">
        <v>53</v>
      </c>
      <c r="F57" s="54">
        <f t="shared" si="7"/>
        <v>8.3597014925373099</v>
      </c>
      <c r="G57" s="54">
        <f t="shared" si="8"/>
        <v>25.975675675675706</v>
      </c>
      <c r="H57" s="54">
        <f t="shared" si="9"/>
        <v>0.30000000000000004</v>
      </c>
      <c r="I57" s="54">
        <f t="shared" si="10"/>
        <v>0.30000000000000004</v>
      </c>
      <c r="J57" s="54">
        <f t="shared" si="11"/>
        <v>0.30000000000000004</v>
      </c>
      <c r="K57" s="54">
        <f t="shared" si="12"/>
        <v>0.30000000000000004</v>
      </c>
      <c r="L57" s="54">
        <f t="shared" si="13"/>
        <v>0.30000000000000004</v>
      </c>
      <c r="M57" s="54">
        <f t="shared" si="14"/>
        <v>13.020848056537099</v>
      </c>
      <c r="N57" s="54">
        <f t="shared" si="15"/>
        <v>0.30000000000000004</v>
      </c>
      <c r="O57" s="54">
        <f t="shared" si="16"/>
        <v>0.30000000000000004</v>
      </c>
      <c r="P57" s="54">
        <f t="shared" si="17"/>
        <v>13.1</v>
      </c>
      <c r="Q57" s="54">
        <f t="shared" si="18"/>
        <v>0.30000000000000004</v>
      </c>
      <c r="R57" s="54">
        <f t="shared" si="19"/>
        <v>10.056097560975608</v>
      </c>
      <c r="S57" s="54">
        <f t="shared" si="20"/>
        <v>0.30000000000000004</v>
      </c>
      <c r="T57" s="54">
        <f t="shared" si="21"/>
        <v>0.30000000000000004</v>
      </c>
      <c r="U57" s="54">
        <f t="shared" si="22"/>
        <v>0.30000000000000004</v>
      </c>
      <c r="V57" s="54">
        <f t="shared" si="23"/>
        <v>0.30000000000000004</v>
      </c>
      <c r="W57" s="54">
        <f t="shared" si="24"/>
        <v>0.30000000000000004</v>
      </c>
      <c r="X57" s="54">
        <f t="shared" si="25"/>
        <v>0.30000000000000004</v>
      </c>
      <c r="Y57" s="54">
        <f t="shared" si="26"/>
        <v>11.546943765281199</v>
      </c>
      <c r="Z57" s="54">
        <f t="shared" si="27"/>
        <v>0.30000000000000004</v>
      </c>
      <c r="AA57" s="54">
        <f t="shared" si="28"/>
        <v>13.045098039215699</v>
      </c>
      <c r="AB57" s="54">
        <f t="shared" si="29"/>
        <v>10.056097560975608</v>
      </c>
      <c r="AC57" s="54">
        <f t="shared" si="30"/>
        <v>0.30000000000000004</v>
      </c>
      <c r="AD57" s="54">
        <f t="shared" si="31"/>
        <v>12.090878754171298</v>
      </c>
      <c r="AF57" s="54"/>
      <c r="AG57" s="54"/>
      <c r="AI57" s="54">
        <f t="shared" si="32"/>
        <v>0.30000000000000004</v>
      </c>
      <c r="AJ57" s="54">
        <f t="shared" si="33"/>
        <v>53</v>
      </c>
    </row>
    <row r="58" spans="2:45" hidden="1" x14ac:dyDescent="0.25">
      <c r="B58" s="51"/>
      <c r="C58" s="55"/>
      <c r="D58" s="55"/>
      <c r="E58" s="54">
        <v>54</v>
      </c>
      <c r="F58" s="54">
        <f t="shared" si="7"/>
        <v>8.4597014925373095</v>
      </c>
      <c r="G58" s="54">
        <f t="shared" si="8"/>
        <v>26.075675675675708</v>
      </c>
      <c r="H58" s="54">
        <f t="shared" si="9"/>
        <v>0.4</v>
      </c>
      <c r="I58" s="54">
        <f t="shared" si="10"/>
        <v>0.4</v>
      </c>
      <c r="J58" s="54">
        <f t="shared" si="11"/>
        <v>0.4</v>
      </c>
      <c r="K58" s="54">
        <f t="shared" si="12"/>
        <v>0.4</v>
      </c>
      <c r="L58" s="54">
        <f t="shared" si="13"/>
        <v>0.4</v>
      </c>
      <c r="M58" s="54">
        <f t="shared" si="14"/>
        <v>13.120848056537099</v>
      </c>
      <c r="N58" s="54">
        <f t="shared" si="15"/>
        <v>0.4</v>
      </c>
      <c r="O58" s="54">
        <f t="shared" si="16"/>
        <v>0.4</v>
      </c>
      <c r="P58" s="54">
        <f t="shared" si="17"/>
        <v>13.2</v>
      </c>
      <c r="Q58" s="54">
        <f t="shared" si="18"/>
        <v>0.4</v>
      </c>
      <c r="R58" s="54">
        <f t="shared" si="19"/>
        <v>10.156097560975608</v>
      </c>
      <c r="S58" s="54">
        <f t="shared" si="20"/>
        <v>0.4</v>
      </c>
      <c r="T58" s="54">
        <f t="shared" si="21"/>
        <v>0.4</v>
      </c>
      <c r="U58" s="54">
        <f t="shared" si="22"/>
        <v>0.4</v>
      </c>
      <c r="V58" s="54">
        <f t="shared" si="23"/>
        <v>0.4</v>
      </c>
      <c r="W58" s="54">
        <f t="shared" si="24"/>
        <v>0.4</v>
      </c>
      <c r="X58" s="54">
        <f t="shared" si="25"/>
        <v>0.4</v>
      </c>
      <c r="Y58" s="54">
        <f t="shared" si="26"/>
        <v>11.646943765281199</v>
      </c>
      <c r="Z58" s="54">
        <f t="shared" si="27"/>
        <v>0.4</v>
      </c>
      <c r="AA58" s="54">
        <f t="shared" si="28"/>
        <v>13.145098039215698</v>
      </c>
      <c r="AB58" s="54">
        <f t="shared" si="29"/>
        <v>10.156097560975608</v>
      </c>
      <c r="AC58" s="54">
        <f t="shared" si="30"/>
        <v>0.4</v>
      </c>
      <c r="AD58" s="54">
        <f t="shared" si="31"/>
        <v>12.190878754171298</v>
      </c>
      <c r="AF58" s="54"/>
      <c r="AG58" s="54"/>
      <c r="AI58" s="54">
        <f t="shared" si="32"/>
        <v>0.4</v>
      </c>
      <c r="AJ58" s="54">
        <f t="shared" si="33"/>
        <v>54</v>
      </c>
    </row>
    <row r="59" spans="2:45" hidden="1" x14ac:dyDescent="0.25">
      <c r="B59" s="51"/>
      <c r="C59" s="55"/>
      <c r="D59" s="55"/>
      <c r="E59" s="54">
        <v>55</v>
      </c>
      <c r="F59" s="54">
        <f t="shared" si="7"/>
        <v>8.5597014925373092</v>
      </c>
      <c r="G59" s="54">
        <f t="shared" si="8"/>
        <v>26.175675675675709</v>
      </c>
      <c r="H59" s="54">
        <f t="shared" si="9"/>
        <v>0.5</v>
      </c>
      <c r="I59" s="54">
        <f t="shared" si="10"/>
        <v>0.5</v>
      </c>
      <c r="J59" s="54">
        <f t="shared" si="11"/>
        <v>0.5</v>
      </c>
      <c r="K59" s="54">
        <f t="shared" si="12"/>
        <v>0.5</v>
      </c>
      <c r="L59" s="54">
        <f t="shared" si="13"/>
        <v>0.5</v>
      </c>
      <c r="M59" s="54">
        <f t="shared" si="14"/>
        <v>13.220848056537099</v>
      </c>
      <c r="N59" s="54">
        <f t="shared" si="15"/>
        <v>0.5</v>
      </c>
      <c r="O59" s="54">
        <f t="shared" si="16"/>
        <v>0.5</v>
      </c>
      <c r="P59" s="54">
        <f t="shared" si="17"/>
        <v>13.299999999999999</v>
      </c>
      <c r="Q59" s="54">
        <f t="shared" si="18"/>
        <v>0.5</v>
      </c>
      <c r="R59" s="54">
        <f t="shared" si="19"/>
        <v>10.256097560975608</v>
      </c>
      <c r="S59" s="54">
        <f t="shared" si="20"/>
        <v>0.5</v>
      </c>
      <c r="T59" s="54">
        <f t="shared" si="21"/>
        <v>0.5</v>
      </c>
      <c r="U59" s="54">
        <f t="shared" si="22"/>
        <v>0.5</v>
      </c>
      <c r="V59" s="54">
        <f t="shared" si="23"/>
        <v>0.5</v>
      </c>
      <c r="W59" s="54">
        <f t="shared" si="24"/>
        <v>0.5</v>
      </c>
      <c r="X59" s="54">
        <f t="shared" si="25"/>
        <v>0.5</v>
      </c>
      <c r="Y59" s="54">
        <f t="shared" si="26"/>
        <v>11.746943765281198</v>
      </c>
      <c r="Z59" s="54">
        <f t="shared" si="27"/>
        <v>0.5</v>
      </c>
      <c r="AA59" s="54">
        <f t="shared" si="28"/>
        <v>13.245098039215698</v>
      </c>
      <c r="AB59" s="54">
        <f t="shared" si="29"/>
        <v>10.256097560975608</v>
      </c>
      <c r="AC59" s="54">
        <f t="shared" si="30"/>
        <v>0.5</v>
      </c>
      <c r="AD59" s="54">
        <f t="shared" si="31"/>
        <v>12.290878754171297</v>
      </c>
      <c r="AF59" s="54"/>
      <c r="AG59" s="54"/>
      <c r="AI59" s="54">
        <f t="shared" si="32"/>
        <v>0.5</v>
      </c>
      <c r="AJ59" s="54">
        <f t="shared" si="33"/>
        <v>55</v>
      </c>
    </row>
    <row r="60" spans="2:45" hidden="1" x14ac:dyDescent="0.25">
      <c r="B60" s="51"/>
      <c r="C60" s="55"/>
      <c r="D60" s="55"/>
      <c r="E60" s="54">
        <v>56</v>
      </c>
      <c r="F60" s="54">
        <f t="shared" si="7"/>
        <v>8.6597014925373088</v>
      </c>
      <c r="G60" s="54">
        <f t="shared" si="8"/>
        <v>26.275675675675711</v>
      </c>
      <c r="H60" s="54">
        <f t="shared" si="9"/>
        <v>0.6</v>
      </c>
      <c r="I60" s="54">
        <f t="shared" si="10"/>
        <v>0.6</v>
      </c>
      <c r="J60" s="54">
        <f t="shared" si="11"/>
        <v>0.6</v>
      </c>
      <c r="K60" s="54">
        <f t="shared" si="12"/>
        <v>0.6</v>
      </c>
      <c r="L60" s="54">
        <f t="shared" si="13"/>
        <v>0.6</v>
      </c>
      <c r="M60" s="54">
        <f t="shared" si="14"/>
        <v>13.320848056537098</v>
      </c>
      <c r="N60" s="54">
        <f t="shared" si="15"/>
        <v>0.6</v>
      </c>
      <c r="O60" s="54">
        <f t="shared" si="16"/>
        <v>0.6</v>
      </c>
      <c r="P60" s="54">
        <f t="shared" si="17"/>
        <v>13.399999999999999</v>
      </c>
      <c r="Q60" s="54">
        <f t="shared" si="18"/>
        <v>0.6</v>
      </c>
      <c r="R60" s="54">
        <f t="shared" si="19"/>
        <v>10.356097560975607</v>
      </c>
      <c r="S60" s="54">
        <f t="shared" si="20"/>
        <v>0.6</v>
      </c>
      <c r="T60" s="54">
        <f t="shared" si="21"/>
        <v>0.6</v>
      </c>
      <c r="U60" s="54">
        <f t="shared" si="22"/>
        <v>0.6</v>
      </c>
      <c r="V60" s="54">
        <f t="shared" si="23"/>
        <v>0.6</v>
      </c>
      <c r="W60" s="54">
        <f t="shared" si="24"/>
        <v>0.6</v>
      </c>
      <c r="X60" s="54">
        <f t="shared" si="25"/>
        <v>0.6</v>
      </c>
      <c r="Y60" s="54">
        <f t="shared" si="26"/>
        <v>11.846943765281198</v>
      </c>
      <c r="Z60" s="54">
        <f t="shared" si="27"/>
        <v>0.6</v>
      </c>
      <c r="AA60" s="54">
        <f t="shared" si="28"/>
        <v>13.345098039215697</v>
      </c>
      <c r="AB60" s="54">
        <f t="shared" si="29"/>
        <v>10.356097560975607</v>
      </c>
      <c r="AC60" s="54">
        <f t="shared" si="30"/>
        <v>0.6</v>
      </c>
      <c r="AD60" s="54">
        <f t="shared" si="31"/>
        <v>12.390878754171297</v>
      </c>
      <c r="AF60" s="54"/>
      <c r="AG60" s="54"/>
      <c r="AI60" s="54">
        <f t="shared" si="32"/>
        <v>0.6</v>
      </c>
      <c r="AJ60" s="54">
        <f t="shared" si="33"/>
        <v>56</v>
      </c>
    </row>
    <row r="61" spans="2:45" hidden="1" x14ac:dyDescent="0.25">
      <c r="B61" s="51"/>
      <c r="C61" s="55"/>
      <c r="D61" s="55"/>
      <c r="E61" s="54">
        <v>57</v>
      </c>
      <c r="F61" s="54">
        <f t="shared" si="7"/>
        <v>8.7597014925373085</v>
      </c>
      <c r="G61" s="54">
        <f t="shared" si="8"/>
        <v>26.375675675675712</v>
      </c>
      <c r="H61" s="54">
        <f t="shared" si="9"/>
        <v>0.7</v>
      </c>
      <c r="I61" s="54">
        <f t="shared" si="10"/>
        <v>0.7</v>
      </c>
      <c r="J61" s="54">
        <f t="shared" si="11"/>
        <v>0.7</v>
      </c>
      <c r="K61" s="54">
        <f t="shared" si="12"/>
        <v>0.7</v>
      </c>
      <c r="L61" s="54">
        <f t="shared" si="13"/>
        <v>0.7</v>
      </c>
      <c r="M61" s="54">
        <f t="shared" si="14"/>
        <v>13.420848056537098</v>
      </c>
      <c r="N61" s="54">
        <f t="shared" si="15"/>
        <v>0.7</v>
      </c>
      <c r="O61" s="54">
        <f t="shared" si="16"/>
        <v>0.7</v>
      </c>
      <c r="P61" s="54">
        <f t="shared" si="17"/>
        <v>13.499999999999998</v>
      </c>
      <c r="Q61" s="54">
        <f t="shared" si="18"/>
        <v>0.7</v>
      </c>
      <c r="R61" s="54">
        <f t="shared" si="19"/>
        <v>10.456097560975607</v>
      </c>
      <c r="S61" s="54">
        <f t="shared" si="20"/>
        <v>0.7</v>
      </c>
      <c r="T61" s="54">
        <f t="shared" si="21"/>
        <v>0.7</v>
      </c>
      <c r="U61" s="54">
        <f t="shared" si="22"/>
        <v>0.7</v>
      </c>
      <c r="V61" s="54">
        <f t="shared" si="23"/>
        <v>0.7</v>
      </c>
      <c r="W61" s="54">
        <f t="shared" si="24"/>
        <v>0.7</v>
      </c>
      <c r="X61" s="54">
        <f t="shared" si="25"/>
        <v>0.7</v>
      </c>
      <c r="Y61" s="54">
        <f t="shared" si="26"/>
        <v>11.946943765281198</v>
      </c>
      <c r="Z61" s="54">
        <f t="shared" si="27"/>
        <v>0.7</v>
      </c>
      <c r="AA61" s="54">
        <f t="shared" si="28"/>
        <v>13.445098039215697</v>
      </c>
      <c r="AB61" s="54">
        <f t="shared" si="29"/>
        <v>10.456097560975607</v>
      </c>
      <c r="AC61" s="54">
        <f t="shared" si="30"/>
        <v>0.7</v>
      </c>
      <c r="AD61" s="54">
        <f t="shared" si="31"/>
        <v>12.490878754171296</v>
      </c>
      <c r="AF61" s="54"/>
      <c r="AG61" s="54"/>
      <c r="AI61" s="54">
        <f t="shared" si="32"/>
        <v>0.7</v>
      </c>
      <c r="AJ61" s="54">
        <f t="shared" si="33"/>
        <v>57</v>
      </c>
    </row>
    <row r="62" spans="2:45" hidden="1" x14ac:dyDescent="0.25">
      <c r="B62" s="51"/>
      <c r="C62" s="55"/>
      <c r="D62" s="55"/>
      <c r="E62" s="54">
        <v>58</v>
      </c>
      <c r="F62" s="54">
        <f t="shared" si="7"/>
        <v>8.8597014925373081</v>
      </c>
      <c r="G62" s="54">
        <f t="shared" si="8"/>
        <v>26.475675675675713</v>
      </c>
      <c r="H62" s="54">
        <f t="shared" si="9"/>
        <v>0.79999999999999993</v>
      </c>
      <c r="I62" s="54">
        <f t="shared" si="10"/>
        <v>0.79999999999999993</v>
      </c>
      <c r="J62" s="54">
        <f t="shared" si="11"/>
        <v>0.79999999999999993</v>
      </c>
      <c r="K62" s="54">
        <f t="shared" si="12"/>
        <v>0.79999999999999993</v>
      </c>
      <c r="L62" s="54">
        <f t="shared" si="13"/>
        <v>0.79999999999999993</v>
      </c>
      <c r="M62" s="54">
        <f t="shared" si="14"/>
        <v>13.520848056537098</v>
      </c>
      <c r="N62" s="54">
        <f t="shared" si="15"/>
        <v>0.79999999999999993</v>
      </c>
      <c r="O62" s="54">
        <f t="shared" si="16"/>
        <v>0.79999999999999993</v>
      </c>
      <c r="P62" s="54">
        <f t="shared" si="17"/>
        <v>13.599999999999998</v>
      </c>
      <c r="Q62" s="54">
        <f t="shared" si="18"/>
        <v>0.79999999999999993</v>
      </c>
      <c r="R62" s="54">
        <f t="shared" si="19"/>
        <v>10.556097560975607</v>
      </c>
      <c r="S62" s="54">
        <f t="shared" si="20"/>
        <v>0.79999999999999993</v>
      </c>
      <c r="T62" s="54">
        <f t="shared" si="21"/>
        <v>0.79999999999999993</v>
      </c>
      <c r="U62" s="54">
        <f t="shared" si="22"/>
        <v>0.79999999999999993</v>
      </c>
      <c r="V62" s="54">
        <f t="shared" si="23"/>
        <v>0.79999999999999993</v>
      </c>
      <c r="W62" s="54">
        <f t="shared" si="24"/>
        <v>0.79999999999999993</v>
      </c>
      <c r="X62" s="54">
        <f t="shared" si="25"/>
        <v>0.79999999999999993</v>
      </c>
      <c r="Y62" s="54">
        <f t="shared" si="26"/>
        <v>12.046943765281197</v>
      </c>
      <c r="Z62" s="54">
        <f t="shared" si="27"/>
        <v>0.79999999999999993</v>
      </c>
      <c r="AA62" s="54">
        <f t="shared" si="28"/>
        <v>13.545098039215697</v>
      </c>
      <c r="AB62" s="54">
        <f t="shared" si="29"/>
        <v>10.556097560975607</v>
      </c>
      <c r="AC62" s="54">
        <f t="shared" si="30"/>
        <v>0.79999999999999993</v>
      </c>
      <c r="AD62" s="54">
        <f t="shared" si="31"/>
        <v>12.590878754171296</v>
      </c>
      <c r="AF62" s="54"/>
      <c r="AG62" s="54"/>
      <c r="AI62" s="54">
        <f t="shared" si="32"/>
        <v>0.79999999999999993</v>
      </c>
      <c r="AJ62" s="54">
        <f t="shared" si="33"/>
        <v>58</v>
      </c>
    </row>
    <row r="63" spans="2:45" hidden="1" x14ac:dyDescent="0.25">
      <c r="B63" s="51"/>
      <c r="C63" s="55"/>
      <c r="D63" s="55"/>
      <c r="E63" s="54">
        <v>59</v>
      </c>
      <c r="F63" s="54">
        <f t="shared" si="7"/>
        <v>8.9597014925373077</v>
      </c>
      <c r="G63" s="54">
        <f t="shared" si="8"/>
        <v>26.575675675675715</v>
      </c>
      <c r="H63" s="54">
        <f t="shared" si="9"/>
        <v>0.89999999999999991</v>
      </c>
      <c r="I63" s="54">
        <f t="shared" si="10"/>
        <v>0.89999999999999991</v>
      </c>
      <c r="J63" s="54">
        <f t="shared" si="11"/>
        <v>0.89999999999999991</v>
      </c>
      <c r="K63" s="54">
        <f t="shared" si="12"/>
        <v>0.89999999999999991</v>
      </c>
      <c r="L63" s="54">
        <f t="shared" si="13"/>
        <v>0.89999999999999991</v>
      </c>
      <c r="M63" s="54">
        <f t="shared" si="14"/>
        <v>13.620848056537097</v>
      </c>
      <c r="N63" s="54">
        <f t="shared" si="15"/>
        <v>0.89999999999999991</v>
      </c>
      <c r="O63" s="54">
        <f t="shared" si="16"/>
        <v>0.89999999999999991</v>
      </c>
      <c r="P63" s="54">
        <f t="shared" si="17"/>
        <v>13.699999999999998</v>
      </c>
      <c r="Q63" s="54">
        <f t="shared" si="18"/>
        <v>0.89999999999999991</v>
      </c>
      <c r="R63" s="54">
        <f t="shared" si="19"/>
        <v>10.656097560975606</v>
      </c>
      <c r="S63" s="54">
        <f t="shared" si="20"/>
        <v>0.89999999999999991</v>
      </c>
      <c r="T63" s="54">
        <f t="shared" si="21"/>
        <v>0.89999999999999991</v>
      </c>
      <c r="U63" s="54">
        <f t="shared" si="22"/>
        <v>0.89999999999999991</v>
      </c>
      <c r="V63" s="54">
        <f t="shared" si="23"/>
        <v>0.89999999999999991</v>
      </c>
      <c r="W63" s="54">
        <f t="shared" si="24"/>
        <v>0.89999999999999991</v>
      </c>
      <c r="X63" s="54">
        <f t="shared" si="25"/>
        <v>0.89999999999999991</v>
      </c>
      <c r="Y63" s="54">
        <f t="shared" si="26"/>
        <v>12.146943765281197</v>
      </c>
      <c r="Z63" s="54">
        <f t="shared" si="27"/>
        <v>0.89999999999999991</v>
      </c>
      <c r="AA63" s="54">
        <f t="shared" si="28"/>
        <v>13.645098039215696</v>
      </c>
      <c r="AB63" s="54">
        <f t="shared" si="29"/>
        <v>10.656097560975606</v>
      </c>
      <c r="AC63" s="54">
        <f t="shared" si="30"/>
        <v>0.89999999999999991</v>
      </c>
      <c r="AD63" s="54">
        <f t="shared" si="31"/>
        <v>12.690878754171296</v>
      </c>
      <c r="AF63" s="54"/>
      <c r="AG63" s="54"/>
      <c r="AI63" s="54">
        <f t="shared" si="32"/>
        <v>0.89999999999999991</v>
      </c>
      <c r="AJ63" s="54">
        <f t="shared" si="33"/>
        <v>59</v>
      </c>
    </row>
    <row r="64" spans="2:45" hidden="1" x14ac:dyDescent="0.25">
      <c r="B64" s="51"/>
      <c r="C64" s="55"/>
      <c r="D64" s="55"/>
      <c r="E64" s="54">
        <v>60</v>
      </c>
      <c r="F64" s="54">
        <f t="shared" si="7"/>
        <v>9.0597014925373074</v>
      </c>
      <c r="G64" s="54">
        <f t="shared" si="8"/>
        <v>26.675675675675716</v>
      </c>
      <c r="H64" s="54">
        <f t="shared" si="9"/>
        <v>0.99999999999999989</v>
      </c>
      <c r="I64" s="54">
        <f t="shared" si="10"/>
        <v>0.99999999999999989</v>
      </c>
      <c r="J64" s="54">
        <f t="shared" si="11"/>
        <v>0.99999999999999989</v>
      </c>
      <c r="K64" s="54">
        <f t="shared" si="12"/>
        <v>0.99999999999999989</v>
      </c>
      <c r="L64" s="54">
        <f t="shared" si="13"/>
        <v>0.99999999999999989</v>
      </c>
      <c r="M64" s="54">
        <f t="shared" si="14"/>
        <v>13.720848056537097</v>
      </c>
      <c r="N64" s="54">
        <f t="shared" si="15"/>
        <v>0.99999999999999989</v>
      </c>
      <c r="O64" s="54">
        <f t="shared" si="16"/>
        <v>0.99999999999999989</v>
      </c>
      <c r="P64" s="54">
        <f t="shared" si="17"/>
        <v>13.799999999999997</v>
      </c>
      <c r="Q64" s="54">
        <f t="shared" si="18"/>
        <v>0.99999999999999989</v>
      </c>
      <c r="R64" s="54">
        <f t="shared" si="19"/>
        <v>10.756097560975606</v>
      </c>
      <c r="S64" s="54">
        <f t="shared" si="20"/>
        <v>0.99999999999999989</v>
      </c>
      <c r="T64" s="54">
        <f t="shared" si="21"/>
        <v>0.99999999999999989</v>
      </c>
      <c r="U64" s="54">
        <f t="shared" si="22"/>
        <v>0.99999999999999989</v>
      </c>
      <c r="V64" s="54">
        <f t="shared" si="23"/>
        <v>0.99999999999999989</v>
      </c>
      <c r="W64" s="54">
        <f t="shared" si="24"/>
        <v>0.99999999999999989</v>
      </c>
      <c r="X64" s="54">
        <f t="shared" si="25"/>
        <v>0.99999999999999989</v>
      </c>
      <c r="Y64" s="54">
        <f t="shared" si="26"/>
        <v>12.246943765281197</v>
      </c>
      <c r="Z64" s="54">
        <f t="shared" si="27"/>
        <v>0.99999999999999989</v>
      </c>
      <c r="AA64" s="54">
        <f t="shared" si="28"/>
        <v>13.745098039215696</v>
      </c>
      <c r="AB64" s="54">
        <f t="shared" si="29"/>
        <v>10.756097560975606</v>
      </c>
      <c r="AC64" s="54">
        <f t="shared" si="30"/>
        <v>0.99999999999999989</v>
      </c>
      <c r="AD64" s="54">
        <f t="shared" si="31"/>
        <v>12.790878754171295</v>
      </c>
      <c r="AF64" s="54"/>
      <c r="AG64" s="54"/>
      <c r="AI64" s="54">
        <f t="shared" si="32"/>
        <v>0.99999999999999989</v>
      </c>
      <c r="AJ64" s="54">
        <f t="shared" si="33"/>
        <v>60</v>
      </c>
    </row>
    <row r="65" spans="2:36" hidden="1" x14ac:dyDescent="0.25">
      <c r="B65" s="51"/>
      <c r="C65" s="55"/>
      <c r="D65" s="55"/>
      <c r="E65" s="54">
        <v>61</v>
      </c>
      <c r="F65" s="54">
        <f t="shared" si="7"/>
        <v>9.159701492537307</v>
      </c>
      <c r="G65" s="54">
        <f t="shared" si="8"/>
        <v>26.775675675675718</v>
      </c>
      <c r="H65" s="54">
        <f t="shared" si="9"/>
        <v>1.0999999999999999</v>
      </c>
      <c r="I65" s="54">
        <f t="shared" si="10"/>
        <v>1.0999999999999999</v>
      </c>
      <c r="J65" s="54">
        <f t="shared" si="11"/>
        <v>1.0999999999999999</v>
      </c>
      <c r="K65" s="54">
        <f t="shared" si="12"/>
        <v>1.0999999999999999</v>
      </c>
      <c r="L65" s="54">
        <f t="shared" si="13"/>
        <v>1.0999999999999999</v>
      </c>
      <c r="M65" s="54">
        <f t="shared" si="14"/>
        <v>13.820848056537097</v>
      </c>
      <c r="N65" s="54">
        <f t="shared" si="15"/>
        <v>1.0999999999999999</v>
      </c>
      <c r="O65" s="54">
        <f t="shared" si="16"/>
        <v>1.0999999999999999</v>
      </c>
      <c r="P65" s="54">
        <f t="shared" si="17"/>
        <v>13.899999999999997</v>
      </c>
      <c r="Q65" s="54">
        <f t="shared" si="18"/>
        <v>1.0999999999999999</v>
      </c>
      <c r="R65" s="54">
        <f t="shared" si="19"/>
        <v>10.856097560975606</v>
      </c>
      <c r="S65" s="54">
        <f t="shared" si="20"/>
        <v>1.0999999999999999</v>
      </c>
      <c r="T65" s="54">
        <f t="shared" si="21"/>
        <v>1.0999999999999999</v>
      </c>
      <c r="U65" s="54">
        <f t="shared" si="22"/>
        <v>1.0999999999999999</v>
      </c>
      <c r="V65" s="54">
        <f t="shared" si="23"/>
        <v>1.0999999999999999</v>
      </c>
      <c r="W65" s="54">
        <f t="shared" si="24"/>
        <v>1.0999999999999999</v>
      </c>
      <c r="X65" s="54">
        <f t="shared" si="25"/>
        <v>1.0999999999999999</v>
      </c>
      <c r="Y65" s="54">
        <f t="shared" si="26"/>
        <v>12.346943765281196</v>
      </c>
      <c r="Z65" s="54">
        <f t="shared" si="27"/>
        <v>1.0999999999999999</v>
      </c>
      <c r="AA65" s="54">
        <f t="shared" si="28"/>
        <v>13.845098039215696</v>
      </c>
      <c r="AB65" s="54">
        <f t="shared" si="29"/>
        <v>10.856097560975606</v>
      </c>
      <c r="AC65" s="54">
        <f t="shared" si="30"/>
        <v>1.0999999999999999</v>
      </c>
      <c r="AD65" s="54">
        <f t="shared" si="31"/>
        <v>12.890878754171295</v>
      </c>
      <c r="AF65" s="54"/>
      <c r="AG65" s="54"/>
      <c r="AI65" s="54">
        <f t="shared" si="32"/>
        <v>1.0999999999999999</v>
      </c>
      <c r="AJ65" s="54">
        <f t="shared" si="33"/>
        <v>61</v>
      </c>
    </row>
    <row r="66" spans="2:36" hidden="1" x14ac:dyDescent="0.25">
      <c r="B66" s="51"/>
      <c r="C66" s="55"/>
      <c r="D66" s="55"/>
      <c r="E66" s="54">
        <v>62</v>
      </c>
      <c r="F66" s="54">
        <f t="shared" si="7"/>
        <v>9.2597014925373067</v>
      </c>
      <c r="G66" s="54">
        <f t="shared" si="8"/>
        <v>26.875675675675719</v>
      </c>
      <c r="H66" s="54">
        <f t="shared" si="9"/>
        <v>1.2</v>
      </c>
      <c r="I66" s="54">
        <f t="shared" si="10"/>
        <v>1.2</v>
      </c>
      <c r="J66" s="54">
        <f t="shared" si="11"/>
        <v>1.2</v>
      </c>
      <c r="K66" s="54">
        <f t="shared" si="12"/>
        <v>1.2</v>
      </c>
      <c r="L66" s="54">
        <f t="shared" si="13"/>
        <v>1.2</v>
      </c>
      <c r="M66" s="54">
        <f t="shared" si="14"/>
        <v>13.920848056537096</v>
      </c>
      <c r="N66" s="54">
        <f t="shared" si="15"/>
        <v>1.2</v>
      </c>
      <c r="O66" s="54">
        <f t="shared" si="16"/>
        <v>1.2</v>
      </c>
      <c r="P66" s="54">
        <f t="shared" si="17"/>
        <v>13.999999999999996</v>
      </c>
      <c r="Q66" s="54">
        <f t="shared" si="18"/>
        <v>1.2</v>
      </c>
      <c r="R66" s="54">
        <f t="shared" si="19"/>
        <v>10.956097560975605</v>
      </c>
      <c r="S66" s="54">
        <f t="shared" si="20"/>
        <v>1.2</v>
      </c>
      <c r="T66" s="54">
        <f t="shared" si="21"/>
        <v>1.2</v>
      </c>
      <c r="U66" s="54">
        <f t="shared" si="22"/>
        <v>1.2</v>
      </c>
      <c r="V66" s="54">
        <f t="shared" si="23"/>
        <v>1.2</v>
      </c>
      <c r="W66" s="54">
        <f t="shared" si="24"/>
        <v>1.2</v>
      </c>
      <c r="X66" s="54">
        <f t="shared" si="25"/>
        <v>1.2</v>
      </c>
      <c r="Y66" s="54">
        <f t="shared" si="26"/>
        <v>12.446943765281196</v>
      </c>
      <c r="Z66" s="54">
        <f t="shared" si="27"/>
        <v>1.2</v>
      </c>
      <c r="AA66" s="54">
        <f t="shared" si="28"/>
        <v>13.945098039215695</v>
      </c>
      <c r="AB66" s="54">
        <f t="shared" si="29"/>
        <v>10.956097560975605</v>
      </c>
      <c r="AC66" s="54">
        <f t="shared" si="30"/>
        <v>1.2</v>
      </c>
      <c r="AD66" s="54">
        <f t="shared" si="31"/>
        <v>12.990878754171295</v>
      </c>
      <c r="AF66" s="54"/>
      <c r="AG66" s="54"/>
      <c r="AI66" s="54">
        <f t="shared" si="32"/>
        <v>1.2</v>
      </c>
      <c r="AJ66" s="54">
        <f t="shared" si="33"/>
        <v>62</v>
      </c>
    </row>
    <row r="67" spans="2:36" hidden="1" x14ac:dyDescent="0.25">
      <c r="B67" s="51"/>
      <c r="C67" s="55"/>
      <c r="D67" s="55"/>
      <c r="E67" s="54">
        <v>63</v>
      </c>
      <c r="F67" s="54">
        <f t="shared" si="7"/>
        <v>9.3597014925373063</v>
      </c>
      <c r="G67" s="54">
        <f t="shared" si="8"/>
        <v>26.975675675675721</v>
      </c>
      <c r="H67" s="54">
        <f t="shared" si="9"/>
        <v>1.3</v>
      </c>
      <c r="I67" s="54">
        <f t="shared" si="10"/>
        <v>1.3</v>
      </c>
      <c r="J67" s="54">
        <f t="shared" si="11"/>
        <v>1.3</v>
      </c>
      <c r="K67" s="54">
        <f t="shared" si="12"/>
        <v>1.3</v>
      </c>
      <c r="L67" s="54">
        <f t="shared" si="13"/>
        <v>1.3</v>
      </c>
      <c r="M67" s="54">
        <f t="shared" si="14"/>
        <v>14.020848056537096</v>
      </c>
      <c r="N67" s="54">
        <f t="shared" si="15"/>
        <v>1.3</v>
      </c>
      <c r="O67" s="54">
        <f t="shared" si="16"/>
        <v>1.3</v>
      </c>
      <c r="P67" s="54">
        <f t="shared" si="17"/>
        <v>14.099999999999996</v>
      </c>
      <c r="Q67" s="54">
        <f t="shared" si="18"/>
        <v>1.3</v>
      </c>
      <c r="R67" s="54">
        <f t="shared" si="19"/>
        <v>11.056097560975605</v>
      </c>
      <c r="S67" s="54">
        <f t="shared" si="20"/>
        <v>1.3</v>
      </c>
      <c r="T67" s="54">
        <f t="shared" si="21"/>
        <v>1.3</v>
      </c>
      <c r="U67" s="54">
        <f t="shared" si="22"/>
        <v>1.3</v>
      </c>
      <c r="V67" s="54">
        <f t="shared" si="23"/>
        <v>1.3</v>
      </c>
      <c r="W67" s="54">
        <f t="shared" si="24"/>
        <v>1.3</v>
      </c>
      <c r="X67" s="54">
        <f t="shared" si="25"/>
        <v>1.3</v>
      </c>
      <c r="Y67" s="54">
        <f t="shared" si="26"/>
        <v>12.546943765281195</v>
      </c>
      <c r="Z67" s="54">
        <f t="shared" si="27"/>
        <v>1.3</v>
      </c>
      <c r="AA67" s="54">
        <f t="shared" si="28"/>
        <v>14.045098039215695</v>
      </c>
      <c r="AB67" s="54">
        <f t="shared" si="29"/>
        <v>11.056097560975605</v>
      </c>
      <c r="AC67" s="54">
        <f t="shared" si="30"/>
        <v>1.3</v>
      </c>
      <c r="AD67" s="54">
        <f t="shared" si="31"/>
        <v>13.090878754171294</v>
      </c>
      <c r="AF67" s="54"/>
      <c r="AG67" s="54"/>
      <c r="AI67" s="54">
        <f t="shared" si="32"/>
        <v>1.3</v>
      </c>
      <c r="AJ67" s="54">
        <f t="shared" si="33"/>
        <v>63</v>
      </c>
    </row>
    <row r="68" spans="2:36" hidden="1" x14ac:dyDescent="0.25">
      <c r="B68" s="51"/>
      <c r="C68" s="55"/>
      <c r="D68" s="55"/>
      <c r="E68" s="54">
        <v>64</v>
      </c>
      <c r="F68" s="54">
        <f t="shared" si="7"/>
        <v>9.459701492537306</v>
      </c>
      <c r="G68" s="54">
        <f t="shared" si="8"/>
        <v>27.075675675675722</v>
      </c>
      <c r="H68" s="54">
        <f t="shared" si="9"/>
        <v>1.4000000000000001</v>
      </c>
      <c r="I68" s="54">
        <f t="shared" si="10"/>
        <v>1.4000000000000001</v>
      </c>
      <c r="J68" s="54">
        <f t="shared" si="11"/>
        <v>1.4000000000000001</v>
      </c>
      <c r="K68" s="54">
        <f t="shared" si="12"/>
        <v>1.4000000000000001</v>
      </c>
      <c r="L68" s="54">
        <f t="shared" si="13"/>
        <v>1.4000000000000001</v>
      </c>
      <c r="M68" s="54">
        <f t="shared" si="14"/>
        <v>14.120848056537096</v>
      </c>
      <c r="N68" s="54">
        <f t="shared" si="15"/>
        <v>1.4000000000000001</v>
      </c>
      <c r="O68" s="54">
        <f t="shared" si="16"/>
        <v>1.4000000000000001</v>
      </c>
      <c r="P68" s="54">
        <f t="shared" si="17"/>
        <v>14.199999999999996</v>
      </c>
      <c r="Q68" s="54">
        <f t="shared" si="18"/>
        <v>1.4000000000000001</v>
      </c>
      <c r="R68" s="54">
        <f t="shared" si="19"/>
        <v>11.156097560975605</v>
      </c>
      <c r="S68" s="54">
        <f t="shared" si="20"/>
        <v>1.4000000000000001</v>
      </c>
      <c r="T68" s="54">
        <f t="shared" si="21"/>
        <v>1.4000000000000001</v>
      </c>
      <c r="U68" s="54">
        <f t="shared" si="22"/>
        <v>1.4000000000000001</v>
      </c>
      <c r="V68" s="54">
        <f t="shared" si="23"/>
        <v>1.4000000000000001</v>
      </c>
      <c r="W68" s="54">
        <f t="shared" si="24"/>
        <v>1.4000000000000001</v>
      </c>
      <c r="X68" s="54">
        <f t="shared" si="25"/>
        <v>1.4000000000000001</v>
      </c>
      <c r="Y68" s="54">
        <f t="shared" si="26"/>
        <v>12.646943765281195</v>
      </c>
      <c r="Z68" s="54">
        <f t="shared" si="27"/>
        <v>1.4000000000000001</v>
      </c>
      <c r="AA68" s="54">
        <f t="shared" si="28"/>
        <v>14.145098039215695</v>
      </c>
      <c r="AB68" s="54">
        <f t="shared" si="29"/>
        <v>11.156097560975605</v>
      </c>
      <c r="AC68" s="54">
        <f t="shared" si="30"/>
        <v>1.4000000000000001</v>
      </c>
      <c r="AD68" s="54">
        <f t="shared" si="31"/>
        <v>13.190878754171294</v>
      </c>
      <c r="AF68" s="54"/>
      <c r="AG68" s="54"/>
      <c r="AI68" s="54">
        <f t="shared" si="32"/>
        <v>1.4000000000000001</v>
      </c>
      <c r="AJ68" s="54">
        <f t="shared" si="33"/>
        <v>64</v>
      </c>
    </row>
    <row r="69" spans="2:36" hidden="1" x14ac:dyDescent="0.25">
      <c r="B69" s="51"/>
      <c r="C69" s="55"/>
      <c r="D69" s="55"/>
      <c r="E69" s="54">
        <v>65</v>
      </c>
      <c r="F69" s="54">
        <f t="shared" si="7"/>
        <v>9.5597014925373056</v>
      </c>
      <c r="G69" s="54">
        <f t="shared" si="8"/>
        <v>27.175675675675723</v>
      </c>
      <c r="H69" s="54">
        <f t="shared" si="9"/>
        <v>1.5000000000000002</v>
      </c>
      <c r="I69" s="54">
        <f t="shared" si="10"/>
        <v>1.5000000000000002</v>
      </c>
      <c r="J69" s="54">
        <f t="shared" si="11"/>
        <v>1.5000000000000002</v>
      </c>
      <c r="K69" s="54">
        <f t="shared" si="12"/>
        <v>1.5000000000000002</v>
      </c>
      <c r="L69" s="54">
        <f t="shared" si="13"/>
        <v>1.5000000000000002</v>
      </c>
      <c r="M69" s="54">
        <f t="shared" si="14"/>
        <v>14.220848056537095</v>
      </c>
      <c r="N69" s="54">
        <f t="shared" si="15"/>
        <v>1.5000000000000002</v>
      </c>
      <c r="O69" s="54">
        <f t="shared" si="16"/>
        <v>1.5000000000000002</v>
      </c>
      <c r="P69" s="54">
        <f t="shared" si="17"/>
        <v>14.299999999999995</v>
      </c>
      <c r="Q69" s="54">
        <f t="shared" si="18"/>
        <v>1.5000000000000002</v>
      </c>
      <c r="R69" s="54">
        <f t="shared" si="19"/>
        <v>11.256097560975604</v>
      </c>
      <c r="S69" s="54">
        <f t="shared" si="20"/>
        <v>1.5000000000000002</v>
      </c>
      <c r="T69" s="54">
        <f t="shared" si="21"/>
        <v>1.5000000000000002</v>
      </c>
      <c r="U69" s="54">
        <f t="shared" si="22"/>
        <v>1.5000000000000002</v>
      </c>
      <c r="V69" s="54">
        <f t="shared" si="23"/>
        <v>1.5000000000000002</v>
      </c>
      <c r="W69" s="54">
        <f t="shared" si="24"/>
        <v>1.5000000000000002</v>
      </c>
      <c r="X69" s="54">
        <f t="shared" si="25"/>
        <v>1.5000000000000002</v>
      </c>
      <c r="Y69" s="54">
        <f t="shared" si="26"/>
        <v>12.746943765281195</v>
      </c>
      <c r="Z69" s="54">
        <f t="shared" si="27"/>
        <v>1.5000000000000002</v>
      </c>
      <c r="AA69" s="54">
        <f t="shared" si="28"/>
        <v>14.245098039215694</v>
      </c>
      <c r="AB69" s="54">
        <f t="shared" si="29"/>
        <v>11.256097560975604</v>
      </c>
      <c r="AC69" s="54">
        <f t="shared" si="30"/>
        <v>1.5000000000000002</v>
      </c>
      <c r="AD69" s="54">
        <f t="shared" si="31"/>
        <v>13.290878754171294</v>
      </c>
      <c r="AF69" s="54"/>
      <c r="AG69" s="54"/>
      <c r="AI69" s="54">
        <f t="shared" si="32"/>
        <v>1.5000000000000002</v>
      </c>
      <c r="AJ69" s="54">
        <f t="shared" si="33"/>
        <v>65</v>
      </c>
    </row>
    <row r="70" spans="2:36" hidden="1" x14ac:dyDescent="0.25">
      <c r="B70" s="51"/>
      <c r="C70" s="55"/>
      <c r="D70" s="55"/>
      <c r="E70" s="54">
        <v>66</v>
      </c>
      <c r="F70" s="54">
        <f t="shared" si="7"/>
        <v>9.6597014925373053</v>
      </c>
      <c r="G70" s="54">
        <f t="shared" si="8"/>
        <v>27.275675675675725</v>
      </c>
      <c r="H70" s="54">
        <f t="shared" si="9"/>
        <v>1.6000000000000003</v>
      </c>
      <c r="I70" s="54">
        <f t="shared" si="10"/>
        <v>1.6000000000000003</v>
      </c>
      <c r="J70" s="54">
        <f t="shared" si="11"/>
        <v>1.6000000000000003</v>
      </c>
      <c r="K70" s="54">
        <f t="shared" si="12"/>
        <v>1.6000000000000003</v>
      </c>
      <c r="L70" s="54">
        <f t="shared" si="13"/>
        <v>1.6000000000000003</v>
      </c>
      <c r="M70" s="54">
        <f t="shared" si="14"/>
        <v>14.320848056537095</v>
      </c>
      <c r="N70" s="54">
        <f t="shared" si="15"/>
        <v>1.6000000000000003</v>
      </c>
      <c r="O70" s="54">
        <f t="shared" si="16"/>
        <v>1.6000000000000003</v>
      </c>
      <c r="P70" s="54">
        <f t="shared" si="17"/>
        <v>14.399999999999995</v>
      </c>
      <c r="Q70" s="54">
        <f t="shared" si="18"/>
        <v>1.6000000000000003</v>
      </c>
      <c r="R70" s="54">
        <f t="shared" si="19"/>
        <v>11.356097560975604</v>
      </c>
      <c r="S70" s="54">
        <f t="shared" si="20"/>
        <v>1.6000000000000003</v>
      </c>
      <c r="T70" s="54">
        <f t="shared" si="21"/>
        <v>1.6000000000000003</v>
      </c>
      <c r="U70" s="54">
        <f t="shared" si="22"/>
        <v>1.6000000000000003</v>
      </c>
      <c r="V70" s="54">
        <f t="shared" si="23"/>
        <v>1.6000000000000003</v>
      </c>
      <c r="W70" s="54">
        <f t="shared" si="24"/>
        <v>1.6000000000000003</v>
      </c>
      <c r="X70" s="54">
        <f t="shared" si="25"/>
        <v>1.6000000000000003</v>
      </c>
      <c r="Y70" s="54">
        <f t="shared" si="26"/>
        <v>12.846943765281194</v>
      </c>
      <c r="Z70" s="54">
        <f t="shared" si="27"/>
        <v>1.6000000000000003</v>
      </c>
      <c r="AA70" s="54">
        <f t="shared" si="28"/>
        <v>14.345098039215694</v>
      </c>
      <c r="AB70" s="54">
        <f t="shared" si="29"/>
        <v>11.356097560975604</v>
      </c>
      <c r="AC70" s="54">
        <f t="shared" si="30"/>
        <v>1.6000000000000003</v>
      </c>
      <c r="AD70" s="54">
        <f t="shared" si="31"/>
        <v>13.390878754171293</v>
      </c>
      <c r="AF70" s="54"/>
      <c r="AG70" s="54"/>
      <c r="AI70" s="54">
        <f t="shared" si="32"/>
        <v>1.6000000000000003</v>
      </c>
      <c r="AJ70" s="54">
        <f t="shared" si="33"/>
        <v>66</v>
      </c>
    </row>
    <row r="71" spans="2:36" hidden="1" x14ac:dyDescent="0.25">
      <c r="B71" s="51"/>
      <c r="C71" s="55"/>
      <c r="D71" s="55"/>
      <c r="E71" s="54">
        <v>67</v>
      </c>
      <c r="F71" s="54">
        <f t="shared" si="7"/>
        <v>9.7597014925373049</v>
      </c>
      <c r="G71" s="54">
        <f t="shared" si="8"/>
        <v>27.375675675675726</v>
      </c>
      <c r="H71" s="54">
        <f t="shared" si="9"/>
        <v>1.7000000000000004</v>
      </c>
      <c r="I71" s="54">
        <f t="shared" si="10"/>
        <v>1.7000000000000004</v>
      </c>
      <c r="J71" s="54">
        <f t="shared" si="11"/>
        <v>1.7000000000000004</v>
      </c>
      <c r="K71" s="54">
        <f t="shared" si="12"/>
        <v>1.7000000000000004</v>
      </c>
      <c r="L71" s="54">
        <f t="shared" si="13"/>
        <v>1.7000000000000004</v>
      </c>
      <c r="M71" s="54">
        <f t="shared" si="14"/>
        <v>14.420848056537094</v>
      </c>
      <c r="N71" s="54">
        <f t="shared" si="15"/>
        <v>1.7000000000000004</v>
      </c>
      <c r="O71" s="54">
        <f t="shared" si="16"/>
        <v>1.7000000000000004</v>
      </c>
      <c r="P71" s="54">
        <f t="shared" si="17"/>
        <v>14.499999999999995</v>
      </c>
      <c r="Q71" s="54">
        <f t="shared" si="18"/>
        <v>1.7000000000000004</v>
      </c>
      <c r="R71" s="54">
        <f t="shared" si="19"/>
        <v>11.456097560975603</v>
      </c>
      <c r="S71" s="54">
        <f t="shared" si="20"/>
        <v>1.7000000000000004</v>
      </c>
      <c r="T71" s="54">
        <f t="shared" si="21"/>
        <v>1.7000000000000004</v>
      </c>
      <c r="U71" s="54">
        <f t="shared" si="22"/>
        <v>1.7000000000000004</v>
      </c>
      <c r="V71" s="54">
        <f t="shared" si="23"/>
        <v>1.7000000000000004</v>
      </c>
      <c r="W71" s="54">
        <f t="shared" si="24"/>
        <v>1.7000000000000004</v>
      </c>
      <c r="X71" s="54">
        <f t="shared" si="25"/>
        <v>1.7000000000000004</v>
      </c>
      <c r="Y71" s="54">
        <f t="shared" si="26"/>
        <v>12.946943765281194</v>
      </c>
      <c r="Z71" s="54">
        <f t="shared" si="27"/>
        <v>1.7000000000000004</v>
      </c>
      <c r="AA71" s="54">
        <f t="shared" si="28"/>
        <v>14.445098039215694</v>
      </c>
      <c r="AB71" s="54">
        <f t="shared" si="29"/>
        <v>11.456097560975603</v>
      </c>
      <c r="AC71" s="54">
        <f t="shared" si="30"/>
        <v>1.7000000000000004</v>
      </c>
      <c r="AD71" s="54">
        <f t="shared" si="31"/>
        <v>13.490878754171293</v>
      </c>
      <c r="AF71" s="54"/>
      <c r="AG71" s="54"/>
      <c r="AI71" s="54">
        <f t="shared" si="32"/>
        <v>1.7000000000000004</v>
      </c>
      <c r="AJ71" s="54">
        <f t="shared" si="33"/>
        <v>67</v>
      </c>
    </row>
    <row r="72" spans="2:36" hidden="1" x14ac:dyDescent="0.25">
      <c r="B72" s="51"/>
      <c r="C72" s="55"/>
      <c r="D72" s="55"/>
      <c r="E72" s="54">
        <v>68</v>
      </c>
      <c r="F72" s="54">
        <f t="shared" si="7"/>
        <v>9.8597014925373045</v>
      </c>
      <c r="G72" s="54">
        <f t="shared" si="8"/>
        <v>27.475675675675728</v>
      </c>
      <c r="H72" s="54">
        <f t="shared" si="9"/>
        <v>1.8000000000000005</v>
      </c>
      <c r="I72" s="54">
        <f t="shared" si="10"/>
        <v>1.8000000000000005</v>
      </c>
      <c r="J72" s="54">
        <f t="shared" si="11"/>
        <v>1.8000000000000005</v>
      </c>
      <c r="K72" s="54">
        <f t="shared" si="12"/>
        <v>1.8000000000000005</v>
      </c>
      <c r="L72" s="54">
        <f t="shared" si="13"/>
        <v>1.8000000000000005</v>
      </c>
      <c r="M72" s="54">
        <f t="shared" si="14"/>
        <v>14.520848056537094</v>
      </c>
      <c r="N72" s="54">
        <f t="shared" si="15"/>
        <v>1.8000000000000005</v>
      </c>
      <c r="O72" s="54">
        <f t="shared" si="16"/>
        <v>1.8000000000000005</v>
      </c>
      <c r="P72" s="54">
        <f t="shared" si="17"/>
        <v>14.599999999999994</v>
      </c>
      <c r="Q72" s="54">
        <f t="shared" si="18"/>
        <v>1.8000000000000005</v>
      </c>
      <c r="R72" s="54">
        <f t="shared" si="19"/>
        <v>11.556097560975603</v>
      </c>
      <c r="S72" s="54">
        <f t="shared" si="20"/>
        <v>1.8000000000000005</v>
      </c>
      <c r="T72" s="54">
        <f t="shared" si="21"/>
        <v>1.8000000000000005</v>
      </c>
      <c r="U72" s="54">
        <f t="shared" si="22"/>
        <v>1.8000000000000005</v>
      </c>
      <c r="V72" s="54">
        <f t="shared" si="23"/>
        <v>1.8000000000000005</v>
      </c>
      <c r="W72" s="54">
        <f t="shared" si="24"/>
        <v>1.8000000000000005</v>
      </c>
      <c r="X72" s="54">
        <f t="shared" si="25"/>
        <v>1.8000000000000005</v>
      </c>
      <c r="Y72" s="54">
        <f t="shared" si="26"/>
        <v>13.046943765281194</v>
      </c>
      <c r="Z72" s="54">
        <f t="shared" si="27"/>
        <v>1.8000000000000005</v>
      </c>
      <c r="AA72" s="54">
        <f t="shared" si="28"/>
        <v>14.545098039215693</v>
      </c>
      <c r="AB72" s="54">
        <f t="shared" si="29"/>
        <v>11.556097560975603</v>
      </c>
      <c r="AC72" s="54">
        <f t="shared" si="30"/>
        <v>1.8000000000000005</v>
      </c>
      <c r="AD72" s="54">
        <f t="shared" si="31"/>
        <v>13.590878754171293</v>
      </c>
      <c r="AF72" s="54"/>
      <c r="AG72" s="54"/>
      <c r="AI72" s="54">
        <f t="shared" si="32"/>
        <v>1.8000000000000005</v>
      </c>
      <c r="AJ72" s="54">
        <f t="shared" si="33"/>
        <v>68</v>
      </c>
    </row>
    <row r="73" spans="2:36" hidden="1" x14ac:dyDescent="0.25">
      <c r="B73" s="51"/>
      <c r="C73" s="55"/>
      <c r="D73" s="55"/>
      <c r="E73" s="54">
        <v>69</v>
      </c>
      <c r="F73" s="54">
        <f t="shared" si="7"/>
        <v>9.9597014925373042</v>
      </c>
      <c r="G73" s="54">
        <f t="shared" si="8"/>
        <v>27.575675675675729</v>
      </c>
      <c r="H73" s="54">
        <f t="shared" si="9"/>
        <v>1.9000000000000006</v>
      </c>
      <c r="I73" s="54">
        <f t="shared" si="10"/>
        <v>1.9000000000000006</v>
      </c>
      <c r="J73" s="54">
        <f t="shared" si="11"/>
        <v>1.9000000000000006</v>
      </c>
      <c r="K73" s="54">
        <f t="shared" si="12"/>
        <v>1.9000000000000006</v>
      </c>
      <c r="L73" s="54">
        <f t="shared" si="13"/>
        <v>1.9000000000000006</v>
      </c>
      <c r="M73" s="54">
        <f t="shared" si="14"/>
        <v>14.620848056537094</v>
      </c>
      <c r="N73" s="54">
        <f t="shared" si="15"/>
        <v>1.9000000000000006</v>
      </c>
      <c r="O73" s="54">
        <f t="shared" si="16"/>
        <v>1.9000000000000006</v>
      </c>
      <c r="P73" s="54">
        <f t="shared" si="17"/>
        <v>14.699999999999994</v>
      </c>
      <c r="Q73" s="54">
        <f t="shared" si="18"/>
        <v>1.9000000000000006</v>
      </c>
      <c r="R73" s="54">
        <f t="shared" si="19"/>
        <v>11.656097560975603</v>
      </c>
      <c r="S73" s="54">
        <f t="shared" si="20"/>
        <v>1.9000000000000006</v>
      </c>
      <c r="T73" s="54">
        <f t="shared" si="21"/>
        <v>1.9000000000000006</v>
      </c>
      <c r="U73" s="54">
        <f t="shared" si="22"/>
        <v>1.9000000000000006</v>
      </c>
      <c r="V73" s="54">
        <f t="shared" si="23"/>
        <v>1.9000000000000006</v>
      </c>
      <c r="W73" s="54">
        <f t="shared" si="24"/>
        <v>1.9000000000000006</v>
      </c>
      <c r="X73" s="54">
        <f t="shared" si="25"/>
        <v>1.9000000000000006</v>
      </c>
      <c r="Y73" s="54">
        <f t="shared" si="26"/>
        <v>13.146943765281193</v>
      </c>
      <c r="Z73" s="54">
        <f t="shared" si="27"/>
        <v>1.9000000000000006</v>
      </c>
      <c r="AA73" s="54">
        <f t="shared" si="28"/>
        <v>14.645098039215693</v>
      </c>
      <c r="AB73" s="54">
        <f t="shared" si="29"/>
        <v>11.656097560975603</v>
      </c>
      <c r="AC73" s="54">
        <f t="shared" si="30"/>
        <v>1.9000000000000006</v>
      </c>
      <c r="AD73" s="54">
        <f t="shared" si="31"/>
        <v>13.690878754171292</v>
      </c>
      <c r="AF73" s="54"/>
      <c r="AG73" s="54"/>
      <c r="AI73" s="54">
        <f t="shared" si="32"/>
        <v>1.9000000000000006</v>
      </c>
      <c r="AJ73" s="54">
        <f t="shared" si="33"/>
        <v>69</v>
      </c>
    </row>
    <row r="74" spans="2:36" hidden="1" x14ac:dyDescent="0.25">
      <c r="B74" s="51"/>
      <c r="C74" s="55"/>
      <c r="D74" s="55"/>
      <c r="E74" s="54">
        <v>70</v>
      </c>
      <c r="F74" s="54">
        <f t="shared" si="7"/>
        <v>10.059701492537304</v>
      </c>
      <c r="G74" s="54">
        <f t="shared" si="8"/>
        <v>27.675675675675731</v>
      </c>
      <c r="H74" s="54">
        <f t="shared" si="9"/>
        <v>2.0000000000000004</v>
      </c>
      <c r="I74" s="54">
        <f t="shared" si="10"/>
        <v>2.0000000000000004</v>
      </c>
      <c r="J74" s="54">
        <f t="shared" si="11"/>
        <v>2.0000000000000004</v>
      </c>
      <c r="K74" s="54">
        <f t="shared" si="12"/>
        <v>2.0000000000000004</v>
      </c>
      <c r="L74" s="54">
        <f t="shared" si="13"/>
        <v>2.0000000000000004</v>
      </c>
      <c r="M74" s="54">
        <f t="shared" si="14"/>
        <v>14.720848056537093</v>
      </c>
      <c r="N74" s="54">
        <f t="shared" si="15"/>
        <v>2.0000000000000004</v>
      </c>
      <c r="O74" s="54">
        <f t="shared" si="16"/>
        <v>2.0000000000000004</v>
      </c>
      <c r="P74" s="54">
        <f t="shared" si="17"/>
        <v>14.799999999999994</v>
      </c>
      <c r="Q74" s="54">
        <f t="shared" si="18"/>
        <v>2.0000000000000004</v>
      </c>
      <c r="R74" s="54">
        <f t="shared" si="19"/>
        <v>11.756097560975602</v>
      </c>
      <c r="S74" s="54">
        <f t="shared" si="20"/>
        <v>2.0000000000000004</v>
      </c>
      <c r="T74" s="54">
        <f t="shared" si="21"/>
        <v>2.0000000000000004</v>
      </c>
      <c r="U74" s="54">
        <f t="shared" si="22"/>
        <v>2.0000000000000004</v>
      </c>
      <c r="V74" s="54">
        <f t="shared" si="23"/>
        <v>2.0000000000000004</v>
      </c>
      <c r="W74" s="54">
        <f t="shared" si="24"/>
        <v>2.0000000000000004</v>
      </c>
      <c r="X74" s="54">
        <f t="shared" si="25"/>
        <v>2.0000000000000004</v>
      </c>
      <c r="Y74" s="54">
        <f t="shared" si="26"/>
        <v>13.246943765281193</v>
      </c>
      <c r="Z74" s="54">
        <f t="shared" si="27"/>
        <v>2.0000000000000004</v>
      </c>
      <c r="AA74" s="54">
        <f t="shared" si="28"/>
        <v>14.745098039215693</v>
      </c>
      <c r="AB74" s="54">
        <f t="shared" si="29"/>
        <v>11.756097560975602</v>
      </c>
      <c r="AC74" s="54">
        <f t="shared" si="30"/>
        <v>2.0000000000000004</v>
      </c>
      <c r="AD74" s="54">
        <f t="shared" si="31"/>
        <v>13.790878754171292</v>
      </c>
      <c r="AF74" s="54"/>
      <c r="AG74" s="54"/>
      <c r="AI74" s="54">
        <f t="shared" si="32"/>
        <v>2.0000000000000004</v>
      </c>
      <c r="AJ74" s="54">
        <f t="shared" si="33"/>
        <v>70</v>
      </c>
    </row>
    <row r="75" spans="2:36" hidden="1" x14ac:dyDescent="0.25">
      <c r="B75" s="51"/>
      <c r="C75" s="55"/>
      <c r="D75" s="55"/>
      <c r="E75" s="54">
        <v>71</v>
      </c>
      <c r="F75" s="54">
        <f t="shared" si="7"/>
        <v>10.159701492537303</v>
      </c>
      <c r="G75" s="54">
        <f t="shared" si="8"/>
        <v>27.775675675675732</v>
      </c>
      <c r="H75" s="54">
        <f t="shared" si="9"/>
        <v>2.1000000000000005</v>
      </c>
      <c r="I75" s="54">
        <f t="shared" si="10"/>
        <v>2.1000000000000005</v>
      </c>
      <c r="J75" s="54">
        <f t="shared" si="11"/>
        <v>2.1000000000000005</v>
      </c>
      <c r="K75" s="54">
        <f t="shared" si="12"/>
        <v>2.1000000000000005</v>
      </c>
      <c r="L75" s="54">
        <f t="shared" si="13"/>
        <v>2.1000000000000005</v>
      </c>
      <c r="M75" s="54">
        <f t="shared" si="14"/>
        <v>14.820848056537093</v>
      </c>
      <c r="N75" s="54">
        <f t="shared" si="15"/>
        <v>2.1000000000000005</v>
      </c>
      <c r="O75" s="54">
        <f t="shared" si="16"/>
        <v>2.1000000000000005</v>
      </c>
      <c r="P75" s="54">
        <f t="shared" si="17"/>
        <v>14.899999999999993</v>
      </c>
      <c r="Q75" s="54">
        <f t="shared" si="18"/>
        <v>2.1000000000000005</v>
      </c>
      <c r="R75" s="54">
        <f t="shared" si="19"/>
        <v>11.856097560975602</v>
      </c>
      <c r="S75" s="54">
        <f t="shared" si="20"/>
        <v>2.1000000000000005</v>
      </c>
      <c r="T75" s="54">
        <f t="shared" si="21"/>
        <v>2.1000000000000005</v>
      </c>
      <c r="U75" s="54">
        <f t="shared" si="22"/>
        <v>2.1000000000000005</v>
      </c>
      <c r="V75" s="54">
        <f t="shared" si="23"/>
        <v>2.1000000000000005</v>
      </c>
      <c r="W75" s="54">
        <f t="shared" si="24"/>
        <v>2.1000000000000005</v>
      </c>
      <c r="X75" s="54">
        <f t="shared" si="25"/>
        <v>2.1000000000000005</v>
      </c>
      <c r="Y75" s="54">
        <f t="shared" si="26"/>
        <v>13.346943765281193</v>
      </c>
      <c r="Z75" s="54">
        <f t="shared" si="27"/>
        <v>2.1000000000000005</v>
      </c>
      <c r="AA75" s="54">
        <f t="shared" si="28"/>
        <v>14.845098039215692</v>
      </c>
      <c r="AB75" s="54">
        <f t="shared" si="29"/>
        <v>11.856097560975602</v>
      </c>
      <c r="AC75" s="54">
        <f t="shared" si="30"/>
        <v>2.1000000000000005</v>
      </c>
      <c r="AD75" s="54">
        <f t="shared" si="31"/>
        <v>13.890878754171291</v>
      </c>
      <c r="AF75" s="54"/>
      <c r="AG75" s="54"/>
      <c r="AI75" s="54">
        <f t="shared" si="32"/>
        <v>2.1000000000000005</v>
      </c>
      <c r="AJ75" s="54">
        <f t="shared" si="33"/>
        <v>71</v>
      </c>
    </row>
    <row r="76" spans="2:36" hidden="1" x14ac:dyDescent="0.25">
      <c r="B76" s="51"/>
      <c r="C76" s="55"/>
      <c r="D76" s="55"/>
      <c r="E76" s="54">
        <v>72</v>
      </c>
      <c r="F76" s="54">
        <f t="shared" si="7"/>
        <v>10.259701492537303</v>
      </c>
      <c r="G76" s="54">
        <f t="shared" si="8"/>
        <v>27.875675675675733</v>
      </c>
      <c r="H76" s="54">
        <f t="shared" si="9"/>
        <v>2.2000000000000006</v>
      </c>
      <c r="I76" s="54">
        <f t="shared" si="10"/>
        <v>2.2000000000000006</v>
      </c>
      <c r="J76" s="54">
        <f t="shared" si="11"/>
        <v>2.2000000000000006</v>
      </c>
      <c r="K76" s="54">
        <f t="shared" si="12"/>
        <v>2.2000000000000006</v>
      </c>
      <c r="L76" s="54">
        <f t="shared" si="13"/>
        <v>2.2000000000000006</v>
      </c>
      <c r="M76" s="54">
        <f t="shared" si="14"/>
        <v>14.920848056537093</v>
      </c>
      <c r="N76" s="54">
        <f t="shared" si="15"/>
        <v>2.2000000000000006</v>
      </c>
      <c r="O76" s="54">
        <f t="shared" si="16"/>
        <v>2.2000000000000006</v>
      </c>
      <c r="P76" s="54">
        <f t="shared" si="17"/>
        <v>14.999999999999993</v>
      </c>
      <c r="Q76" s="54">
        <f t="shared" si="18"/>
        <v>2.2000000000000006</v>
      </c>
      <c r="R76" s="54">
        <f t="shared" si="19"/>
        <v>11.956097560975602</v>
      </c>
      <c r="S76" s="54">
        <f t="shared" si="20"/>
        <v>2.2000000000000006</v>
      </c>
      <c r="T76" s="54">
        <f t="shared" si="21"/>
        <v>2.2000000000000006</v>
      </c>
      <c r="U76" s="54">
        <f t="shared" si="22"/>
        <v>2.2000000000000006</v>
      </c>
      <c r="V76" s="54">
        <f t="shared" si="23"/>
        <v>2.2000000000000006</v>
      </c>
      <c r="W76" s="54">
        <f t="shared" si="24"/>
        <v>2.2000000000000006</v>
      </c>
      <c r="X76" s="54">
        <f t="shared" si="25"/>
        <v>2.2000000000000006</v>
      </c>
      <c r="Y76" s="54">
        <f t="shared" si="26"/>
        <v>13.446943765281192</v>
      </c>
      <c r="Z76" s="54">
        <f t="shared" si="27"/>
        <v>2.2000000000000006</v>
      </c>
      <c r="AA76" s="54">
        <f t="shared" si="28"/>
        <v>14.945098039215692</v>
      </c>
      <c r="AB76" s="54">
        <f t="shared" si="29"/>
        <v>11.956097560975602</v>
      </c>
      <c r="AC76" s="54">
        <f t="shared" si="30"/>
        <v>2.2000000000000006</v>
      </c>
      <c r="AD76" s="54">
        <f t="shared" si="31"/>
        <v>13.990878754171291</v>
      </c>
      <c r="AF76" s="54"/>
      <c r="AG76" s="54"/>
      <c r="AI76" s="54">
        <f t="shared" si="32"/>
        <v>2.2000000000000006</v>
      </c>
      <c r="AJ76" s="54">
        <f t="shared" si="33"/>
        <v>72</v>
      </c>
    </row>
    <row r="77" spans="2:36" hidden="1" x14ac:dyDescent="0.25">
      <c r="B77" s="51"/>
      <c r="C77" s="55"/>
      <c r="D77" s="55"/>
      <c r="E77" s="54">
        <v>73</v>
      </c>
      <c r="F77" s="54">
        <f t="shared" si="7"/>
        <v>10.359701492537303</v>
      </c>
      <c r="G77" s="54">
        <f t="shared" si="8"/>
        <v>27.975675675675735</v>
      </c>
      <c r="H77" s="54">
        <f t="shared" si="9"/>
        <v>2.3000000000000007</v>
      </c>
      <c r="I77" s="54">
        <f t="shared" si="10"/>
        <v>2.3000000000000007</v>
      </c>
      <c r="J77" s="54">
        <f t="shared" si="11"/>
        <v>2.3000000000000007</v>
      </c>
      <c r="K77" s="54">
        <f t="shared" si="12"/>
        <v>2.3000000000000007</v>
      </c>
      <c r="L77" s="54">
        <f t="shared" si="13"/>
        <v>2.3000000000000007</v>
      </c>
      <c r="M77" s="54">
        <f t="shared" si="14"/>
        <v>15.020848056537092</v>
      </c>
      <c r="N77" s="54">
        <f t="shared" si="15"/>
        <v>2.3000000000000007</v>
      </c>
      <c r="O77" s="54">
        <f t="shared" si="16"/>
        <v>2.3000000000000007</v>
      </c>
      <c r="P77" s="54">
        <f t="shared" si="17"/>
        <v>15.099999999999993</v>
      </c>
      <c r="Q77" s="54">
        <f t="shared" si="18"/>
        <v>2.3000000000000007</v>
      </c>
      <c r="R77" s="54">
        <f t="shared" si="19"/>
        <v>12.056097560975601</v>
      </c>
      <c r="S77" s="54">
        <f t="shared" si="20"/>
        <v>2.3000000000000007</v>
      </c>
      <c r="T77" s="54">
        <f t="shared" si="21"/>
        <v>2.3000000000000007</v>
      </c>
      <c r="U77" s="54">
        <f t="shared" si="22"/>
        <v>2.3000000000000007</v>
      </c>
      <c r="V77" s="54">
        <f t="shared" si="23"/>
        <v>2.3000000000000007</v>
      </c>
      <c r="W77" s="54">
        <f t="shared" si="24"/>
        <v>2.3000000000000007</v>
      </c>
      <c r="X77" s="54">
        <f t="shared" si="25"/>
        <v>2.3000000000000007</v>
      </c>
      <c r="Y77" s="54">
        <f t="shared" si="26"/>
        <v>13.546943765281192</v>
      </c>
      <c r="Z77" s="54">
        <f t="shared" si="27"/>
        <v>2.3000000000000007</v>
      </c>
      <c r="AA77" s="54">
        <f t="shared" si="28"/>
        <v>15.045098039215691</v>
      </c>
      <c r="AB77" s="54">
        <f t="shared" si="29"/>
        <v>12.056097560975601</v>
      </c>
      <c r="AC77" s="54">
        <f t="shared" si="30"/>
        <v>2.3000000000000007</v>
      </c>
      <c r="AD77" s="54">
        <f t="shared" si="31"/>
        <v>14.090878754171291</v>
      </c>
      <c r="AF77" s="54"/>
      <c r="AG77" s="54"/>
      <c r="AI77" s="54">
        <f t="shared" si="32"/>
        <v>2.3000000000000007</v>
      </c>
      <c r="AJ77" s="54">
        <f t="shared" si="33"/>
        <v>73</v>
      </c>
    </row>
    <row r="78" spans="2:36" hidden="1" x14ac:dyDescent="0.25">
      <c r="B78" s="51"/>
      <c r="C78" s="55"/>
      <c r="D78" s="55"/>
      <c r="E78" s="54">
        <v>74</v>
      </c>
      <c r="F78" s="54">
        <f t="shared" si="7"/>
        <v>10.459701492537302</v>
      </c>
      <c r="G78" s="54">
        <f t="shared" si="8"/>
        <v>28.075675675675736</v>
      </c>
      <c r="H78" s="54">
        <f t="shared" si="9"/>
        <v>2.4000000000000008</v>
      </c>
      <c r="I78" s="54">
        <f t="shared" si="10"/>
        <v>2.4000000000000008</v>
      </c>
      <c r="J78" s="54">
        <f t="shared" si="11"/>
        <v>2.4000000000000008</v>
      </c>
      <c r="K78" s="54">
        <f t="shared" si="12"/>
        <v>2.4000000000000008</v>
      </c>
      <c r="L78" s="54">
        <f t="shared" si="13"/>
        <v>2.4000000000000008</v>
      </c>
      <c r="M78" s="54">
        <f t="shared" si="14"/>
        <v>15.120848056537092</v>
      </c>
      <c r="N78" s="54">
        <f t="shared" si="15"/>
        <v>2.4000000000000008</v>
      </c>
      <c r="O78" s="54">
        <f t="shared" si="16"/>
        <v>2.4000000000000008</v>
      </c>
      <c r="P78" s="54">
        <f t="shared" si="17"/>
        <v>15.199999999999992</v>
      </c>
      <c r="Q78" s="54">
        <f t="shared" si="18"/>
        <v>2.4000000000000008</v>
      </c>
      <c r="R78" s="54">
        <f t="shared" si="19"/>
        <v>12.156097560975601</v>
      </c>
      <c r="S78" s="54">
        <f t="shared" si="20"/>
        <v>2.4000000000000008</v>
      </c>
      <c r="T78" s="54">
        <f t="shared" si="21"/>
        <v>2.4000000000000008</v>
      </c>
      <c r="U78" s="54">
        <f t="shared" si="22"/>
        <v>2.4000000000000008</v>
      </c>
      <c r="V78" s="54">
        <f t="shared" si="23"/>
        <v>2.4000000000000008</v>
      </c>
      <c r="W78" s="54">
        <f t="shared" si="24"/>
        <v>2.4000000000000008</v>
      </c>
      <c r="X78" s="54">
        <f t="shared" si="25"/>
        <v>2.4000000000000008</v>
      </c>
      <c r="Y78" s="54">
        <f t="shared" si="26"/>
        <v>13.646943765281192</v>
      </c>
      <c r="Z78" s="54">
        <f t="shared" si="27"/>
        <v>2.4000000000000008</v>
      </c>
      <c r="AA78" s="54">
        <f t="shared" si="28"/>
        <v>15.145098039215691</v>
      </c>
      <c r="AB78" s="54">
        <f t="shared" si="29"/>
        <v>12.156097560975601</v>
      </c>
      <c r="AC78" s="54">
        <f t="shared" si="30"/>
        <v>2.4000000000000008</v>
      </c>
      <c r="AD78" s="54">
        <f t="shared" si="31"/>
        <v>14.19087875417129</v>
      </c>
      <c r="AF78" s="54"/>
      <c r="AG78" s="54"/>
      <c r="AI78" s="54">
        <f t="shared" si="32"/>
        <v>2.4000000000000008</v>
      </c>
      <c r="AJ78" s="54">
        <f t="shared" si="33"/>
        <v>74</v>
      </c>
    </row>
    <row r="79" spans="2:36" hidden="1" x14ac:dyDescent="0.25">
      <c r="B79" s="51"/>
      <c r="C79" s="55"/>
      <c r="D79" s="55"/>
      <c r="E79" s="54">
        <v>75</v>
      </c>
      <c r="F79" s="54">
        <f t="shared" si="7"/>
        <v>10.559701492537302</v>
      </c>
      <c r="G79" s="54">
        <f t="shared" si="8"/>
        <v>28.175675675675738</v>
      </c>
      <c r="H79" s="54">
        <f t="shared" si="9"/>
        <v>2.5000000000000009</v>
      </c>
      <c r="I79" s="54">
        <f t="shared" si="10"/>
        <v>2.5000000000000009</v>
      </c>
      <c r="J79" s="54">
        <f t="shared" si="11"/>
        <v>2.5000000000000009</v>
      </c>
      <c r="K79" s="54">
        <f t="shared" si="12"/>
        <v>2.5000000000000009</v>
      </c>
      <c r="L79" s="54">
        <f t="shared" si="13"/>
        <v>2.5000000000000009</v>
      </c>
      <c r="M79" s="54">
        <f t="shared" si="14"/>
        <v>15.220848056537092</v>
      </c>
      <c r="N79" s="54">
        <f t="shared" si="15"/>
        <v>2.5000000000000009</v>
      </c>
      <c r="O79" s="54">
        <f t="shared" si="16"/>
        <v>2.5000000000000009</v>
      </c>
      <c r="P79" s="54">
        <f t="shared" si="17"/>
        <v>15.299999999999992</v>
      </c>
      <c r="Q79" s="54">
        <f t="shared" si="18"/>
        <v>2.5000000000000009</v>
      </c>
      <c r="R79" s="54">
        <f t="shared" si="19"/>
        <v>12.256097560975601</v>
      </c>
      <c r="S79" s="54">
        <f t="shared" si="20"/>
        <v>2.5000000000000009</v>
      </c>
      <c r="T79" s="54">
        <f t="shared" si="21"/>
        <v>2.5000000000000009</v>
      </c>
      <c r="U79" s="54">
        <f t="shared" si="22"/>
        <v>2.5000000000000009</v>
      </c>
      <c r="V79" s="54">
        <f t="shared" si="23"/>
        <v>2.5000000000000009</v>
      </c>
      <c r="W79" s="54">
        <f t="shared" si="24"/>
        <v>2.5000000000000009</v>
      </c>
      <c r="X79" s="54">
        <f t="shared" si="25"/>
        <v>2.5000000000000009</v>
      </c>
      <c r="Y79" s="54">
        <f t="shared" si="26"/>
        <v>13.746943765281191</v>
      </c>
      <c r="Z79" s="54">
        <f t="shared" si="27"/>
        <v>2.5000000000000009</v>
      </c>
      <c r="AA79" s="54">
        <f t="shared" si="28"/>
        <v>15.245098039215691</v>
      </c>
      <c r="AB79" s="54">
        <f t="shared" si="29"/>
        <v>12.256097560975601</v>
      </c>
      <c r="AC79" s="54">
        <f t="shared" si="30"/>
        <v>2.5000000000000009</v>
      </c>
      <c r="AD79" s="54">
        <f t="shared" si="31"/>
        <v>14.29087875417129</v>
      </c>
      <c r="AF79" s="54"/>
      <c r="AG79" s="54"/>
      <c r="AI79" s="54">
        <f t="shared" si="32"/>
        <v>2.5000000000000009</v>
      </c>
      <c r="AJ79" s="54">
        <f t="shared" si="33"/>
        <v>75</v>
      </c>
    </row>
    <row r="80" spans="2:36" hidden="1" x14ac:dyDescent="0.25">
      <c r="B80" s="51"/>
      <c r="C80" s="55"/>
      <c r="D80" s="55"/>
      <c r="E80" s="54">
        <v>76</v>
      </c>
      <c r="F80" s="54">
        <f t="shared" si="7"/>
        <v>10.659701492537302</v>
      </c>
      <c r="G80" s="54">
        <f t="shared" si="8"/>
        <v>28.275675675675739</v>
      </c>
      <c r="H80" s="54">
        <f t="shared" si="9"/>
        <v>2.600000000000001</v>
      </c>
      <c r="I80" s="54">
        <f t="shared" si="10"/>
        <v>2.600000000000001</v>
      </c>
      <c r="J80" s="54">
        <f t="shared" si="11"/>
        <v>2.600000000000001</v>
      </c>
      <c r="K80" s="54">
        <f t="shared" si="12"/>
        <v>2.600000000000001</v>
      </c>
      <c r="L80" s="54">
        <f t="shared" si="13"/>
        <v>2.600000000000001</v>
      </c>
      <c r="M80" s="54">
        <f t="shared" si="14"/>
        <v>15.320848056537091</v>
      </c>
      <c r="N80" s="54">
        <f t="shared" si="15"/>
        <v>2.600000000000001</v>
      </c>
      <c r="O80" s="54">
        <f t="shared" si="16"/>
        <v>2.600000000000001</v>
      </c>
      <c r="P80" s="54">
        <f t="shared" si="17"/>
        <v>15.399999999999991</v>
      </c>
      <c r="Q80" s="54">
        <f t="shared" si="18"/>
        <v>2.600000000000001</v>
      </c>
      <c r="R80" s="54">
        <f t="shared" si="19"/>
        <v>12.3560975609756</v>
      </c>
      <c r="S80" s="54">
        <f t="shared" si="20"/>
        <v>2.600000000000001</v>
      </c>
      <c r="T80" s="54">
        <f t="shared" si="21"/>
        <v>2.600000000000001</v>
      </c>
      <c r="U80" s="54">
        <f t="shared" si="22"/>
        <v>2.600000000000001</v>
      </c>
      <c r="V80" s="54">
        <f t="shared" si="23"/>
        <v>2.600000000000001</v>
      </c>
      <c r="W80" s="54">
        <f t="shared" si="24"/>
        <v>2.600000000000001</v>
      </c>
      <c r="X80" s="54">
        <f t="shared" si="25"/>
        <v>2.600000000000001</v>
      </c>
      <c r="Y80" s="54">
        <f t="shared" si="26"/>
        <v>13.846943765281191</v>
      </c>
      <c r="Z80" s="54">
        <f t="shared" si="27"/>
        <v>2.600000000000001</v>
      </c>
      <c r="AA80" s="54">
        <f t="shared" si="28"/>
        <v>15.34509803921569</v>
      </c>
      <c r="AB80" s="54">
        <f t="shared" si="29"/>
        <v>12.3560975609756</v>
      </c>
      <c r="AC80" s="54">
        <f t="shared" si="30"/>
        <v>2.600000000000001</v>
      </c>
      <c r="AD80" s="54">
        <f t="shared" si="31"/>
        <v>14.39087875417129</v>
      </c>
      <c r="AF80" s="54"/>
      <c r="AG80" s="54"/>
      <c r="AI80" s="54">
        <f t="shared" si="32"/>
        <v>2.600000000000001</v>
      </c>
      <c r="AJ80" s="54">
        <f t="shared" si="33"/>
        <v>76</v>
      </c>
    </row>
    <row r="81" spans="2:36" hidden="1" x14ac:dyDescent="0.25">
      <c r="B81" s="51"/>
      <c r="C81" s="55"/>
      <c r="D81" s="55"/>
      <c r="E81" s="54">
        <v>77</v>
      </c>
      <c r="F81" s="54">
        <f t="shared" si="7"/>
        <v>10.759701492537301</v>
      </c>
      <c r="G81" s="54">
        <f t="shared" si="8"/>
        <v>28.37567567567574</v>
      </c>
      <c r="H81" s="54">
        <f t="shared" si="9"/>
        <v>2.7000000000000011</v>
      </c>
      <c r="I81" s="54">
        <f t="shared" si="10"/>
        <v>2.7000000000000011</v>
      </c>
      <c r="J81" s="54">
        <f t="shared" si="11"/>
        <v>2.7000000000000011</v>
      </c>
      <c r="K81" s="54">
        <f t="shared" si="12"/>
        <v>2.7000000000000011</v>
      </c>
      <c r="L81" s="54">
        <f t="shared" si="13"/>
        <v>2.7000000000000011</v>
      </c>
      <c r="M81" s="54">
        <f t="shared" si="14"/>
        <v>15.420848056537091</v>
      </c>
      <c r="N81" s="54">
        <f t="shared" si="15"/>
        <v>2.7000000000000011</v>
      </c>
      <c r="O81" s="54">
        <f t="shared" si="16"/>
        <v>2.7000000000000011</v>
      </c>
      <c r="P81" s="54">
        <f t="shared" si="17"/>
        <v>15.499999999999991</v>
      </c>
      <c r="Q81" s="54">
        <f t="shared" si="18"/>
        <v>2.7000000000000011</v>
      </c>
      <c r="R81" s="54">
        <f t="shared" si="19"/>
        <v>12.4560975609756</v>
      </c>
      <c r="S81" s="54">
        <f t="shared" si="20"/>
        <v>2.7000000000000011</v>
      </c>
      <c r="T81" s="54">
        <f t="shared" si="21"/>
        <v>2.7000000000000011</v>
      </c>
      <c r="U81" s="54">
        <f t="shared" si="22"/>
        <v>2.7000000000000011</v>
      </c>
      <c r="V81" s="54">
        <f t="shared" si="23"/>
        <v>2.7000000000000011</v>
      </c>
      <c r="W81" s="54">
        <f t="shared" si="24"/>
        <v>2.7000000000000011</v>
      </c>
      <c r="X81" s="54">
        <f t="shared" si="25"/>
        <v>2.7000000000000011</v>
      </c>
      <c r="Y81" s="54">
        <f t="shared" si="26"/>
        <v>13.946943765281191</v>
      </c>
      <c r="Z81" s="54">
        <f t="shared" si="27"/>
        <v>2.7000000000000011</v>
      </c>
      <c r="AA81" s="54">
        <f t="shared" si="28"/>
        <v>15.44509803921569</v>
      </c>
      <c r="AB81" s="54">
        <f t="shared" si="29"/>
        <v>12.4560975609756</v>
      </c>
      <c r="AC81" s="54">
        <f t="shared" si="30"/>
        <v>2.7000000000000011</v>
      </c>
      <c r="AD81" s="54">
        <f t="shared" si="31"/>
        <v>14.490878754171289</v>
      </c>
      <c r="AF81" s="54"/>
      <c r="AG81" s="54"/>
      <c r="AI81" s="54">
        <f t="shared" si="32"/>
        <v>2.7000000000000011</v>
      </c>
      <c r="AJ81" s="54">
        <f t="shared" si="33"/>
        <v>77</v>
      </c>
    </row>
    <row r="82" spans="2:36" hidden="1" x14ac:dyDescent="0.25">
      <c r="B82" s="51"/>
      <c r="C82" s="55"/>
      <c r="D82" s="55"/>
      <c r="E82" s="54">
        <v>78</v>
      </c>
      <c r="F82" s="54">
        <f t="shared" si="7"/>
        <v>10.859701492537301</v>
      </c>
      <c r="G82" s="54">
        <f t="shared" si="8"/>
        <v>28.475675675675742</v>
      </c>
      <c r="H82" s="54">
        <f t="shared" si="9"/>
        <v>2.8000000000000012</v>
      </c>
      <c r="I82" s="54">
        <f t="shared" si="10"/>
        <v>2.8000000000000012</v>
      </c>
      <c r="J82" s="54">
        <f t="shared" si="11"/>
        <v>2.8000000000000012</v>
      </c>
      <c r="K82" s="54">
        <f t="shared" si="12"/>
        <v>2.8000000000000012</v>
      </c>
      <c r="L82" s="54">
        <f t="shared" si="13"/>
        <v>2.8000000000000012</v>
      </c>
      <c r="M82" s="54">
        <f t="shared" si="14"/>
        <v>15.520848056537091</v>
      </c>
      <c r="N82" s="54">
        <f t="shared" si="15"/>
        <v>2.8000000000000012</v>
      </c>
      <c r="O82" s="54">
        <f t="shared" si="16"/>
        <v>2.8000000000000012</v>
      </c>
      <c r="P82" s="54">
        <f t="shared" si="17"/>
        <v>15.599999999999991</v>
      </c>
      <c r="Q82" s="54">
        <f t="shared" si="18"/>
        <v>2.8000000000000012</v>
      </c>
      <c r="R82" s="54">
        <f t="shared" si="19"/>
        <v>12.5560975609756</v>
      </c>
      <c r="S82" s="54">
        <f t="shared" si="20"/>
        <v>2.8000000000000012</v>
      </c>
      <c r="T82" s="54">
        <f t="shared" si="21"/>
        <v>2.8000000000000012</v>
      </c>
      <c r="U82" s="54">
        <f t="shared" si="22"/>
        <v>2.8000000000000012</v>
      </c>
      <c r="V82" s="54">
        <f t="shared" si="23"/>
        <v>2.8000000000000012</v>
      </c>
      <c r="W82" s="54">
        <f t="shared" si="24"/>
        <v>2.8000000000000012</v>
      </c>
      <c r="X82" s="54">
        <f t="shared" si="25"/>
        <v>2.8000000000000012</v>
      </c>
      <c r="Y82" s="54">
        <f t="shared" si="26"/>
        <v>14.04694376528119</v>
      </c>
      <c r="Z82" s="54">
        <f t="shared" si="27"/>
        <v>2.8000000000000012</v>
      </c>
      <c r="AA82" s="54">
        <f t="shared" si="28"/>
        <v>15.54509803921569</v>
      </c>
      <c r="AB82" s="54">
        <f t="shared" si="29"/>
        <v>12.5560975609756</v>
      </c>
      <c r="AC82" s="54">
        <f t="shared" si="30"/>
        <v>2.8000000000000012</v>
      </c>
      <c r="AD82" s="54">
        <f t="shared" si="31"/>
        <v>14.590878754171289</v>
      </c>
      <c r="AF82" s="54"/>
      <c r="AG82" s="54"/>
      <c r="AI82" s="54">
        <f t="shared" si="32"/>
        <v>2.8000000000000012</v>
      </c>
      <c r="AJ82" s="54">
        <f t="shared" si="33"/>
        <v>78</v>
      </c>
    </row>
    <row r="83" spans="2:36" hidden="1" x14ac:dyDescent="0.25">
      <c r="B83" s="51"/>
      <c r="C83" s="55"/>
      <c r="D83" s="55"/>
      <c r="E83" s="54">
        <v>79</v>
      </c>
      <c r="F83" s="54">
        <f t="shared" si="7"/>
        <v>10.959701492537301</v>
      </c>
      <c r="G83" s="54">
        <f t="shared" si="8"/>
        <v>28.575675675675743</v>
      </c>
      <c r="H83" s="54">
        <f t="shared" si="9"/>
        <v>2.9000000000000012</v>
      </c>
      <c r="I83" s="54">
        <f t="shared" si="10"/>
        <v>2.9000000000000012</v>
      </c>
      <c r="J83" s="54">
        <f t="shared" si="11"/>
        <v>2.9000000000000012</v>
      </c>
      <c r="K83" s="54">
        <f t="shared" si="12"/>
        <v>2.9000000000000012</v>
      </c>
      <c r="L83" s="54">
        <f t="shared" si="13"/>
        <v>2.9000000000000012</v>
      </c>
      <c r="M83" s="54">
        <f t="shared" si="14"/>
        <v>15.62084805653709</v>
      </c>
      <c r="N83" s="54">
        <f t="shared" si="15"/>
        <v>2.9000000000000012</v>
      </c>
      <c r="O83" s="54">
        <f t="shared" si="16"/>
        <v>2.9000000000000012</v>
      </c>
      <c r="P83" s="54">
        <f t="shared" si="17"/>
        <v>15.69999999999999</v>
      </c>
      <c r="Q83" s="54">
        <f t="shared" si="18"/>
        <v>2.9000000000000012</v>
      </c>
      <c r="R83" s="54">
        <f t="shared" si="19"/>
        <v>12.656097560975599</v>
      </c>
      <c r="S83" s="54">
        <f t="shared" si="20"/>
        <v>2.9000000000000012</v>
      </c>
      <c r="T83" s="54">
        <f t="shared" si="21"/>
        <v>2.9000000000000012</v>
      </c>
      <c r="U83" s="54">
        <f t="shared" si="22"/>
        <v>2.9000000000000012</v>
      </c>
      <c r="V83" s="54">
        <f t="shared" si="23"/>
        <v>2.9000000000000012</v>
      </c>
      <c r="W83" s="54">
        <f t="shared" si="24"/>
        <v>2.9000000000000012</v>
      </c>
      <c r="X83" s="54">
        <f t="shared" si="25"/>
        <v>2.9000000000000012</v>
      </c>
      <c r="Y83" s="54">
        <f t="shared" si="26"/>
        <v>14.14694376528119</v>
      </c>
      <c r="Z83" s="54">
        <f t="shared" si="27"/>
        <v>2.9000000000000012</v>
      </c>
      <c r="AA83" s="54">
        <f t="shared" si="28"/>
        <v>15.645098039215689</v>
      </c>
      <c r="AB83" s="54">
        <f t="shared" si="29"/>
        <v>12.656097560975599</v>
      </c>
      <c r="AC83" s="54">
        <f t="shared" si="30"/>
        <v>2.9000000000000012</v>
      </c>
      <c r="AD83" s="54">
        <f t="shared" si="31"/>
        <v>14.690878754171289</v>
      </c>
      <c r="AF83" s="54"/>
      <c r="AG83" s="54"/>
      <c r="AI83" s="54">
        <f t="shared" si="32"/>
        <v>2.9000000000000012</v>
      </c>
      <c r="AJ83" s="54">
        <f t="shared" si="33"/>
        <v>79</v>
      </c>
    </row>
    <row r="84" spans="2:36" hidden="1" x14ac:dyDescent="0.25">
      <c r="B84" s="51"/>
      <c r="C84" s="55"/>
      <c r="D84" s="55"/>
      <c r="E84" s="54">
        <v>80</v>
      </c>
      <c r="F84" s="54">
        <f t="shared" ref="F84:F147" si="34">+F83+0.1</f>
        <v>11.0597014925373</v>
      </c>
      <c r="G84" s="54">
        <f t="shared" ref="G84:G147" si="35">+G83+0.1</f>
        <v>28.675675675675745</v>
      </c>
      <c r="H84" s="54">
        <f t="shared" ref="H84:H147" si="36">+H83+0.1</f>
        <v>3.0000000000000013</v>
      </c>
      <c r="I84" s="54">
        <f t="shared" ref="I84:I147" si="37">+I83+0.1</f>
        <v>3.0000000000000013</v>
      </c>
      <c r="J84" s="54">
        <f t="shared" ref="J84:J147" si="38">+J83+0.1</f>
        <v>3.0000000000000013</v>
      </c>
      <c r="K84" s="54">
        <f t="shared" ref="K84:K147" si="39">+K83+0.1</f>
        <v>3.0000000000000013</v>
      </c>
      <c r="L84" s="54">
        <f t="shared" ref="L84:L147" si="40">+L83+0.1</f>
        <v>3.0000000000000013</v>
      </c>
      <c r="M84" s="54">
        <f t="shared" ref="M84:M147" si="41">+M83+0.1</f>
        <v>15.72084805653709</v>
      </c>
      <c r="N84" s="54">
        <f t="shared" ref="N84:N147" si="42">+N83+0.1</f>
        <v>3.0000000000000013</v>
      </c>
      <c r="O84" s="54">
        <f t="shared" ref="O84:O147" si="43">+O83+0.1</f>
        <v>3.0000000000000013</v>
      </c>
      <c r="P84" s="54">
        <f t="shared" ref="P84:P147" si="44">+P83+0.1</f>
        <v>15.79999999999999</v>
      </c>
      <c r="Q84" s="54">
        <f t="shared" ref="Q84:Q147" si="45">+Q83+0.1</f>
        <v>3.0000000000000013</v>
      </c>
      <c r="R84" s="54">
        <f t="shared" ref="R84:R147" si="46">+R83+0.1</f>
        <v>12.756097560975599</v>
      </c>
      <c r="S84" s="54">
        <f t="shared" ref="S84:S147" si="47">+S83+0.1</f>
        <v>3.0000000000000013</v>
      </c>
      <c r="T84" s="54">
        <f t="shared" ref="T84:T147" si="48">+T83+0.1</f>
        <v>3.0000000000000013</v>
      </c>
      <c r="U84" s="54">
        <f t="shared" ref="U84:U147" si="49">+U83+0.1</f>
        <v>3.0000000000000013</v>
      </c>
      <c r="V84" s="54">
        <f t="shared" ref="V84:V147" si="50">+V83+0.1</f>
        <v>3.0000000000000013</v>
      </c>
      <c r="W84" s="54">
        <f t="shared" ref="W84:W147" si="51">+W83+0.1</f>
        <v>3.0000000000000013</v>
      </c>
      <c r="X84" s="54">
        <f t="shared" ref="X84:X147" si="52">+X83+0.1</f>
        <v>3.0000000000000013</v>
      </c>
      <c r="Y84" s="54">
        <f t="shared" ref="Y84:Y147" si="53">+Y83+0.1</f>
        <v>14.246943765281189</v>
      </c>
      <c r="Z84" s="54">
        <f t="shared" ref="Z84:Z147" si="54">+Z83+0.1</f>
        <v>3.0000000000000013</v>
      </c>
      <c r="AA84" s="54">
        <f t="shared" ref="AA84:AA147" si="55">+AA83+0.1</f>
        <v>15.745098039215689</v>
      </c>
      <c r="AB84" s="54">
        <f t="shared" ref="AB84:AB147" si="56">+AB83+0.1</f>
        <v>12.756097560975599</v>
      </c>
      <c r="AC84" s="54">
        <f t="shared" ref="AC84:AC147" si="57">+AC83+0.1</f>
        <v>3.0000000000000013</v>
      </c>
      <c r="AD84" s="54">
        <f t="shared" ref="AD84:AD147" si="58">+AD83+0.1</f>
        <v>14.790878754171288</v>
      </c>
      <c r="AF84" s="54"/>
      <c r="AG84" s="54"/>
      <c r="AI84" s="54">
        <f t="shared" si="32"/>
        <v>3.0000000000000013</v>
      </c>
      <c r="AJ84" s="54">
        <f t="shared" si="33"/>
        <v>80</v>
      </c>
    </row>
    <row r="85" spans="2:36" hidden="1" x14ac:dyDescent="0.25">
      <c r="B85" s="51"/>
      <c r="C85" s="55"/>
      <c r="D85" s="55"/>
      <c r="E85" s="54">
        <v>81</v>
      </c>
      <c r="F85" s="54">
        <f t="shared" si="34"/>
        <v>11.1597014925373</v>
      </c>
      <c r="G85" s="54">
        <f t="shared" si="35"/>
        <v>28.775675675675746</v>
      </c>
      <c r="H85" s="54">
        <f t="shared" si="36"/>
        <v>3.1000000000000014</v>
      </c>
      <c r="I85" s="54">
        <f t="shared" si="37"/>
        <v>3.1000000000000014</v>
      </c>
      <c r="J85" s="54">
        <f t="shared" si="38"/>
        <v>3.1000000000000014</v>
      </c>
      <c r="K85" s="54">
        <f t="shared" si="39"/>
        <v>3.1000000000000014</v>
      </c>
      <c r="L85" s="54">
        <f t="shared" si="40"/>
        <v>3.1000000000000014</v>
      </c>
      <c r="M85" s="54">
        <f t="shared" si="41"/>
        <v>15.820848056537089</v>
      </c>
      <c r="N85" s="54">
        <f t="shared" si="42"/>
        <v>3.1000000000000014</v>
      </c>
      <c r="O85" s="54">
        <f t="shared" si="43"/>
        <v>3.1000000000000014</v>
      </c>
      <c r="P85" s="54">
        <f t="shared" si="44"/>
        <v>15.89999999999999</v>
      </c>
      <c r="Q85" s="54">
        <f t="shared" si="45"/>
        <v>3.1000000000000014</v>
      </c>
      <c r="R85" s="54">
        <f t="shared" si="46"/>
        <v>12.856097560975599</v>
      </c>
      <c r="S85" s="54">
        <f t="shared" si="47"/>
        <v>3.1000000000000014</v>
      </c>
      <c r="T85" s="54">
        <f t="shared" si="48"/>
        <v>3.1000000000000014</v>
      </c>
      <c r="U85" s="54">
        <f t="shared" si="49"/>
        <v>3.1000000000000014</v>
      </c>
      <c r="V85" s="54">
        <f t="shared" si="50"/>
        <v>3.1000000000000014</v>
      </c>
      <c r="W85" s="54">
        <f t="shared" si="51"/>
        <v>3.1000000000000014</v>
      </c>
      <c r="X85" s="54">
        <f t="shared" si="52"/>
        <v>3.1000000000000014</v>
      </c>
      <c r="Y85" s="54">
        <f t="shared" si="53"/>
        <v>14.346943765281189</v>
      </c>
      <c r="Z85" s="54">
        <f t="shared" si="54"/>
        <v>3.1000000000000014</v>
      </c>
      <c r="AA85" s="54">
        <f t="shared" si="55"/>
        <v>15.845098039215689</v>
      </c>
      <c r="AB85" s="54">
        <f t="shared" si="56"/>
        <v>12.856097560975599</v>
      </c>
      <c r="AC85" s="54">
        <f t="shared" si="57"/>
        <v>3.1000000000000014</v>
      </c>
      <c r="AD85" s="54">
        <f t="shared" si="58"/>
        <v>14.890878754171288</v>
      </c>
      <c r="AF85" s="54"/>
      <c r="AG85" s="54"/>
      <c r="AI85" s="54">
        <f t="shared" si="32"/>
        <v>3.1000000000000014</v>
      </c>
      <c r="AJ85" s="54">
        <f t="shared" si="33"/>
        <v>81</v>
      </c>
    </row>
    <row r="86" spans="2:36" hidden="1" x14ac:dyDescent="0.25">
      <c r="B86" s="51"/>
      <c r="C86" s="55"/>
      <c r="D86" s="55"/>
      <c r="E86" s="54">
        <v>82</v>
      </c>
      <c r="F86" s="54">
        <f t="shared" si="34"/>
        <v>11.2597014925373</v>
      </c>
      <c r="G86" s="54">
        <f t="shared" si="35"/>
        <v>28.875675675675748</v>
      </c>
      <c r="H86" s="54">
        <f t="shared" si="36"/>
        <v>3.2000000000000015</v>
      </c>
      <c r="I86" s="54">
        <f t="shared" si="37"/>
        <v>3.2000000000000015</v>
      </c>
      <c r="J86" s="54">
        <f t="shared" si="38"/>
        <v>3.2000000000000015</v>
      </c>
      <c r="K86" s="54">
        <f t="shared" si="39"/>
        <v>3.2000000000000015</v>
      </c>
      <c r="L86" s="54">
        <f t="shared" si="40"/>
        <v>3.2000000000000015</v>
      </c>
      <c r="M86" s="54">
        <f t="shared" si="41"/>
        <v>15.920848056537089</v>
      </c>
      <c r="N86" s="54">
        <f t="shared" si="42"/>
        <v>3.2000000000000015</v>
      </c>
      <c r="O86" s="54">
        <f t="shared" si="43"/>
        <v>3.2000000000000015</v>
      </c>
      <c r="P86" s="54">
        <f t="shared" si="44"/>
        <v>15.999999999999989</v>
      </c>
      <c r="Q86" s="54">
        <f t="shared" si="45"/>
        <v>3.2000000000000015</v>
      </c>
      <c r="R86" s="54">
        <f t="shared" si="46"/>
        <v>12.956097560975598</v>
      </c>
      <c r="S86" s="54">
        <f t="shared" si="47"/>
        <v>3.2000000000000015</v>
      </c>
      <c r="T86" s="54">
        <f t="shared" si="48"/>
        <v>3.2000000000000015</v>
      </c>
      <c r="U86" s="54">
        <f t="shared" si="49"/>
        <v>3.2000000000000015</v>
      </c>
      <c r="V86" s="54">
        <f t="shared" si="50"/>
        <v>3.2000000000000015</v>
      </c>
      <c r="W86" s="54">
        <f t="shared" si="51"/>
        <v>3.2000000000000015</v>
      </c>
      <c r="X86" s="54">
        <f t="shared" si="52"/>
        <v>3.2000000000000015</v>
      </c>
      <c r="Y86" s="54">
        <f t="shared" si="53"/>
        <v>14.446943765281189</v>
      </c>
      <c r="Z86" s="54">
        <f t="shared" si="54"/>
        <v>3.2000000000000015</v>
      </c>
      <c r="AA86" s="54">
        <f t="shared" si="55"/>
        <v>15.945098039215688</v>
      </c>
      <c r="AB86" s="54">
        <f t="shared" si="56"/>
        <v>12.956097560975598</v>
      </c>
      <c r="AC86" s="54">
        <f t="shared" si="57"/>
        <v>3.2000000000000015</v>
      </c>
      <c r="AD86" s="54">
        <f t="shared" si="58"/>
        <v>14.990878754171288</v>
      </c>
      <c r="AF86" s="54"/>
      <c r="AG86" s="54"/>
      <c r="AI86" s="54">
        <f t="shared" si="32"/>
        <v>3.2000000000000015</v>
      </c>
      <c r="AJ86" s="54">
        <f t="shared" si="33"/>
        <v>82</v>
      </c>
    </row>
    <row r="87" spans="2:36" hidden="1" x14ac:dyDescent="0.25">
      <c r="B87" s="51"/>
      <c r="C87" s="55"/>
      <c r="D87" s="55"/>
      <c r="E87" s="54">
        <v>83</v>
      </c>
      <c r="F87" s="54">
        <f t="shared" si="34"/>
        <v>11.359701492537299</v>
      </c>
      <c r="G87" s="54">
        <f t="shared" si="35"/>
        <v>28.975675675675749</v>
      </c>
      <c r="H87" s="54">
        <f t="shared" si="36"/>
        <v>3.3000000000000016</v>
      </c>
      <c r="I87" s="54">
        <f t="shared" si="37"/>
        <v>3.3000000000000016</v>
      </c>
      <c r="J87" s="54">
        <f t="shared" si="38"/>
        <v>3.3000000000000016</v>
      </c>
      <c r="K87" s="54">
        <f t="shared" si="39"/>
        <v>3.3000000000000016</v>
      </c>
      <c r="L87" s="54">
        <f t="shared" si="40"/>
        <v>3.3000000000000016</v>
      </c>
      <c r="M87" s="54">
        <f t="shared" si="41"/>
        <v>16.020848056537091</v>
      </c>
      <c r="N87" s="54">
        <f t="shared" si="42"/>
        <v>3.3000000000000016</v>
      </c>
      <c r="O87" s="54">
        <f t="shared" si="43"/>
        <v>3.3000000000000016</v>
      </c>
      <c r="P87" s="54">
        <f t="shared" si="44"/>
        <v>16.099999999999991</v>
      </c>
      <c r="Q87" s="54">
        <f t="shared" si="45"/>
        <v>3.3000000000000016</v>
      </c>
      <c r="R87" s="54">
        <f t="shared" si="46"/>
        <v>13.056097560975598</v>
      </c>
      <c r="S87" s="54">
        <f t="shared" si="47"/>
        <v>3.3000000000000016</v>
      </c>
      <c r="T87" s="54">
        <f t="shared" si="48"/>
        <v>3.3000000000000016</v>
      </c>
      <c r="U87" s="54">
        <f t="shared" si="49"/>
        <v>3.3000000000000016</v>
      </c>
      <c r="V87" s="54">
        <f t="shared" si="50"/>
        <v>3.3000000000000016</v>
      </c>
      <c r="W87" s="54">
        <f t="shared" si="51"/>
        <v>3.3000000000000016</v>
      </c>
      <c r="X87" s="54">
        <f t="shared" si="52"/>
        <v>3.3000000000000016</v>
      </c>
      <c r="Y87" s="54">
        <f t="shared" si="53"/>
        <v>14.546943765281188</v>
      </c>
      <c r="Z87" s="54">
        <f t="shared" si="54"/>
        <v>3.3000000000000016</v>
      </c>
      <c r="AA87" s="54">
        <f t="shared" si="55"/>
        <v>16.045098039215688</v>
      </c>
      <c r="AB87" s="54">
        <f t="shared" si="56"/>
        <v>13.056097560975598</v>
      </c>
      <c r="AC87" s="54">
        <f t="shared" si="57"/>
        <v>3.3000000000000016</v>
      </c>
      <c r="AD87" s="54">
        <f t="shared" si="58"/>
        <v>15.090878754171287</v>
      </c>
      <c r="AF87" s="54"/>
      <c r="AG87" s="54"/>
      <c r="AI87" s="54">
        <f t="shared" ref="AI87:AI150" si="59">MIN(E87:AD87)</f>
        <v>3.3000000000000016</v>
      </c>
      <c r="AJ87" s="54">
        <f t="shared" ref="AJ87:AJ150" si="60">MAX(E87:AD87)</f>
        <v>83</v>
      </c>
    </row>
    <row r="88" spans="2:36" hidden="1" x14ac:dyDescent="0.25">
      <c r="B88" s="51"/>
      <c r="C88" s="55"/>
      <c r="D88" s="55"/>
      <c r="E88" s="54">
        <v>84</v>
      </c>
      <c r="F88" s="54">
        <f t="shared" si="34"/>
        <v>11.459701492537299</v>
      </c>
      <c r="G88" s="54">
        <f t="shared" si="35"/>
        <v>29.07567567567575</v>
      </c>
      <c r="H88" s="54">
        <f t="shared" si="36"/>
        <v>3.4000000000000017</v>
      </c>
      <c r="I88" s="54">
        <f t="shared" si="37"/>
        <v>3.4000000000000017</v>
      </c>
      <c r="J88" s="54">
        <f t="shared" si="38"/>
        <v>3.4000000000000017</v>
      </c>
      <c r="K88" s="54">
        <f t="shared" si="39"/>
        <v>3.4000000000000017</v>
      </c>
      <c r="L88" s="54">
        <f t="shared" si="40"/>
        <v>3.4000000000000017</v>
      </c>
      <c r="M88" s="54">
        <f t="shared" si="41"/>
        <v>16.120848056537092</v>
      </c>
      <c r="N88" s="54">
        <f t="shared" si="42"/>
        <v>3.4000000000000017</v>
      </c>
      <c r="O88" s="54">
        <f t="shared" si="43"/>
        <v>3.4000000000000017</v>
      </c>
      <c r="P88" s="54">
        <f t="shared" si="44"/>
        <v>16.199999999999992</v>
      </c>
      <c r="Q88" s="54">
        <f t="shared" si="45"/>
        <v>3.4000000000000017</v>
      </c>
      <c r="R88" s="54">
        <f t="shared" si="46"/>
        <v>13.156097560975597</v>
      </c>
      <c r="S88" s="54">
        <f t="shared" si="47"/>
        <v>3.4000000000000017</v>
      </c>
      <c r="T88" s="54">
        <f t="shared" si="48"/>
        <v>3.4000000000000017</v>
      </c>
      <c r="U88" s="54">
        <f t="shared" si="49"/>
        <v>3.4000000000000017</v>
      </c>
      <c r="V88" s="54">
        <f t="shared" si="50"/>
        <v>3.4000000000000017</v>
      </c>
      <c r="W88" s="54">
        <f t="shared" si="51"/>
        <v>3.4000000000000017</v>
      </c>
      <c r="X88" s="54">
        <f t="shared" si="52"/>
        <v>3.4000000000000017</v>
      </c>
      <c r="Y88" s="54">
        <f t="shared" si="53"/>
        <v>14.646943765281188</v>
      </c>
      <c r="Z88" s="54">
        <f t="shared" si="54"/>
        <v>3.4000000000000017</v>
      </c>
      <c r="AA88" s="54">
        <f t="shared" si="55"/>
        <v>16.145098039215689</v>
      </c>
      <c r="AB88" s="54">
        <f t="shared" si="56"/>
        <v>13.156097560975597</v>
      </c>
      <c r="AC88" s="54">
        <f t="shared" si="57"/>
        <v>3.4000000000000017</v>
      </c>
      <c r="AD88" s="54">
        <f t="shared" si="58"/>
        <v>15.190878754171287</v>
      </c>
      <c r="AF88" s="54"/>
      <c r="AG88" s="54"/>
      <c r="AI88" s="54">
        <f t="shared" si="59"/>
        <v>3.4000000000000017</v>
      </c>
      <c r="AJ88" s="54">
        <f t="shared" si="60"/>
        <v>84</v>
      </c>
    </row>
    <row r="89" spans="2:36" hidden="1" x14ac:dyDescent="0.25">
      <c r="B89" s="51"/>
      <c r="C89" s="55"/>
      <c r="D89" s="55"/>
      <c r="E89" s="54">
        <v>85</v>
      </c>
      <c r="F89" s="54">
        <f t="shared" si="34"/>
        <v>11.559701492537299</v>
      </c>
      <c r="G89" s="54">
        <f t="shared" si="35"/>
        <v>29.175675675675752</v>
      </c>
      <c r="H89" s="54">
        <f t="shared" si="36"/>
        <v>3.5000000000000018</v>
      </c>
      <c r="I89" s="54">
        <f t="shared" si="37"/>
        <v>3.5000000000000018</v>
      </c>
      <c r="J89" s="54">
        <f t="shared" si="38"/>
        <v>3.5000000000000018</v>
      </c>
      <c r="K89" s="54">
        <f t="shared" si="39"/>
        <v>3.5000000000000018</v>
      </c>
      <c r="L89" s="54">
        <f t="shared" si="40"/>
        <v>3.5000000000000018</v>
      </c>
      <c r="M89" s="54">
        <f t="shared" si="41"/>
        <v>16.220848056537093</v>
      </c>
      <c r="N89" s="54">
        <f t="shared" si="42"/>
        <v>3.5000000000000018</v>
      </c>
      <c r="O89" s="54">
        <f t="shared" si="43"/>
        <v>3.5000000000000018</v>
      </c>
      <c r="P89" s="54">
        <f t="shared" si="44"/>
        <v>16.299999999999994</v>
      </c>
      <c r="Q89" s="54">
        <f t="shared" si="45"/>
        <v>3.5000000000000018</v>
      </c>
      <c r="R89" s="54">
        <f t="shared" si="46"/>
        <v>13.256097560975597</v>
      </c>
      <c r="S89" s="54">
        <f t="shared" si="47"/>
        <v>3.5000000000000018</v>
      </c>
      <c r="T89" s="54">
        <f t="shared" si="48"/>
        <v>3.5000000000000018</v>
      </c>
      <c r="U89" s="54">
        <f t="shared" si="49"/>
        <v>3.5000000000000018</v>
      </c>
      <c r="V89" s="54">
        <f t="shared" si="50"/>
        <v>3.5000000000000018</v>
      </c>
      <c r="W89" s="54">
        <f t="shared" si="51"/>
        <v>3.5000000000000018</v>
      </c>
      <c r="X89" s="54">
        <f t="shared" si="52"/>
        <v>3.5000000000000018</v>
      </c>
      <c r="Y89" s="54">
        <f t="shared" si="53"/>
        <v>14.746943765281188</v>
      </c>
      <c r="Z89" s="54">
        <f t="shared" si="54"/>
        <v>3.5000000000000018</v>
      </c>
      <c r="AA89" s="54">
        <f t="shared" si="55"/>
        <v>16.245098039215691</v>
      </c>
      <c r="AB89" s="54">
        <f t="shared" si="56"/>
        <v>13.256097560975597</v>
      </c>
      <c r="AC89" s="54">
        <f t="shared" si="57"/>
        <v>3.5000000000000018</v>
      </c>
      <c r="AD89" s="54">
        <f t="shared" si="58"/>
        <v>15.290878754171287</v>
      </c>
      <c r="AF89" s="54"/>
      <c r="AG89" s="54"/>
      <c r="AI89" s="54">
        <f t="shared" si="59"/>
        <v>3.5000000000000018</v>
      </c>
      <c r="AJ89" s="54">
        <f t="shared" si="60"/>
        <v>85</v>
      </c>
    </row>
    <row r="90" spans="2:36" hidden="1" x14ac:dyDescent="0.25">
      <c r="B90" s="51"/>
      <c r="C90" s="55"/>
      <c r="D90" s="55"/>
      <c r="E90" s="54">
        <v>86</v>
      </c>
      <c r="F90" s="54">
        <f t="shared" si="34"/>
        <v>11.659701492537298</v>
      </c>
      <c r="G90" s="54">
        <f t="shared" si="35"/>
        <v>29.275675675675753</v>
      </c>
      <c r="H90" s="54">
        <f t="shared" si="36"/>
        <v>3.6000000000000019</v>
      </c>
      <c r="I90" s="54">
        <f t="shared" si="37"/>
        <v>3.6000000000000019</v>
      </c>
      <c r="J90" s="54">
        <f t="shared" si="38"/>
        <v>3.6000000000000019</v>
      </c>
      <c r="K90" s="54">
        <f t="shared" si="39"/>
        <v>3.6000000000000019</v>
      </c>
      <c r="L90" s="54">
        <f t="shared" si="40"/>
        <v>3.6000000000000019</v>
      </c>
      <c r="M90" s="54">
        <f t="shared" si="41"/>
        <v>16.320848056537095</v>
      </c>
      <c r="N90" s="54">
        <f t="shared" si="42"/>
        <v>3.6000000000000019</v>
      </c>
      <c r="O90" s="54">
        <f t="shared" si="43"/>
        <v>3.6000000000000019</v>
      </c>
      <c r="P90" s="54">
        <f t="shared" si="44"/>
        <v>16.399999999999995</v>
      </c>
      <c r="Q90" s="54">
        <f t="shared" si="45"/>
        <v>3.6000000000000019</v>
      </c>
      <c r="R90" s="54">
        <f t="shared" si="46"/>
        <v>13.356097560975597</v>
      </c>
      <c r="S90" s="54">
        <f t="shared" si="47"/>
        <v>3.6000000000000019</v>
      </c>
      <c r="T90" s="54">
        <f t="shared" si="48"/>
        <v>3.6000000000000019</v>
      </c>
      <c r="U90" s="54">
        <f t="shared" si="49"/>
        <v>3.6000000000000019</v>
      </c>
      <c r="V90" s="54">
        <f t="shared" si="50"/>
        <v>3.6000000000000019</v>
      </c>
      <c r="W90" s="54">
        <f t="shared" si="51"/>
        <v>3.6000000000000019</v>
      </c>
      <c r="X90" s="54">
        <f t="shared" si="52"/>
        <v>3.6000000000000019</v>
      </c>
      <c r="Y90" s="54">
        <f t="shared" si="53"/>
        <v>14.846943765281187</v>
      </c>
      <c r="Z90" s="54">
        <f t="shared" si="54"/>
        <v>3.6000000000000019</v>
      </c>
      <c r="AA90" s="54">
        <f t="shared" si="55"/>
        <v>16.345098039215692</v>
      </c>
      <c r="AB90" s="54">
        <f t="shared" si="56"/>
        <v>13.356097560975597</v>
      </c>
      <c r="AC90" s="54">
        <f t="shared" si="57"/>
        <v>3.6000000000000019</v>
      </c>
      <c r="AD90" s="54">
        <f t="shared" si="58"/>
        <v>15.390878754171286</v>
      </c>
      <c r="AF90" s="54"/>
      <c r="AG90" s="54"/>
      <c r="AI90" s="54">
        <f t="shared" si="59"/>
        <v>3.6000000000000019</v>
      </c>
      <c r="AJ90" s="54">
        <f t="shared" si="60"/>
        <v>86</v>
      </c>
    </row>
    <row r="91" spans="2:36" hidden="1" x14ac:dyDescent="0.25">
      <c r="B91" s="51"/>
      <c r="C91" s="55"/>
      <c r="D91" s="55"/>
      <c r="E91" s="54">
        <v>87</v>
      </c>
      <c r="F91" s="54">
        <f t="shared" si="34"/>
        <v>11.759701492537298</v>
      </c>
      <c r="G91" s="54">
        <f t="shared" si="35"/>
        <v>29.375675675675755</v>
      </c>
      <c r="H91" s="54">
        <f t="shared" si="36"/>
        <v>3.700000000000002</v>
      </c>
      <c r="I91" s="54">
        <f t="shared" si="37"/>
        <v>3.700000000000002</v>
      </c>
      <c r="J91" s="54">
        <f t="shared" si="38"/>
        <v>3.700000000000002</v>
      </c>
      <c r="K91" s="54">
        <f t="shared" si="39"/>
        <v>3.700000000000002</v>
      </c>
      <c r="L91" s="54">
        <f t="shared" si="40"/>
        <v>3.700000000000002</v>
      </c>
      <c r="M91" s="54">
        <f t="shared" si="41"/>
        <v>16.420848056537096</v>
      </c>
      <c r="N91" s="54">
        <f t="shared" si="42"/>
        <v>3.700000000000002</v>
      </c>
      <c r="O91" s="54">
        <f t="shared" si="43"/>
        <v>3.700000000000002</v>
      </c>
      <c r="P91" s="54">
        <f t="shared" si="44"/>
        <v>16.499999999999996</v>
      </c>
      <c r="Q91" s="54">
        <f t="shared" si="45"/>
        <v>3.700000000000002</v>
      </c>
      <c r="R91" s="54">
        <f t="shared" si="46"/>
        <v>13.456097560975596</v>
      </c>
      <c r="S91" s="54">
        <f t="shared" si="47"/>
        <v>3.700000000000002</v>
      </c>
      <c r="T91" s="54">
        <f t="shared" si="48"/>
        <v>3.700000000000002</v>
      </c>
      <c r="U91" s="54">
        <f t="shared" si="49"/>
        <v>3.700000000000002</v>
      </c>
      <c r="V91" s="54">
        <f t="shared" si="50"/>
        <v>3.700000000000002</v>
      </c>
      <c r="W91" s="54">
        <f t="shared" si="51"/>
        <v>3.700000000000002</v>
      </c>
      <c r="X91" s="54">
        <f t="shared" si="52"/>
        <v>3.700000000000002</v>
      </c>
      <c r="Y91" s="54">
        <f t="shared" si="53"/>
        <v>14.946943765281187</v>
      </c>
      <c r="Z91" s="54">
        <f t="shared" si="54"/>
        <v>3.700000000000002</v>
      </c>
      <c r="AA91" s="54">
        <f t="shared" si="55"/>
        <v>16.445098039215694</v>
      </c>
      <c r="AB91" s="54">
        <f t="shared" si="56"/>
        <v>13.456097560975596</v>
      </c>
      <c r="AC91" s="54">
        <f t="shared" si="57"/>
        <v>3.700000000000002</v>
      </c>
      <c r="AD91" s="54">
        <f t="shared" si="58"/>
        <v>15.490878754171286</v>
      </c>
      <c r="AF91" s="54"/>
      <c r="AG91" s="54"/>
      <c r="AI91" s="54">
        <f t="shared" si="59"/>
        <v>3.700000000000002</v>
      </c>
      <c r="AJ91" s="54">
        <f t="shared" si="60"/>
        <v>87</v>
      </c>
    </row>
    <row r="92" spans="2:36" hidden="1" x14ac:dyDescent="0.25">
      <c r="B92" s="51"/>
      <c r="C92" s="55"/>
      <c r="D92" s="55"/>
      <c r="E92" s="54">
        <v>88</v>
      </c>
      <c r="F92" s="54">
        <f t="shared" si="34"/>
        <v>11.859701492537297</v>
      </c>
      <c r="G92" s="54">
        <f t="shared" si="35"/>
        <v>29.475675675675756</v>
      </c>
      <c r="H92" s="54">
        <f t="shared" si="36"/>
        <v>3.800000000000002</v>
      </c>
      <c r="I92" s="54">
        <f t="shared" si="37"/>
        <v>3.800000000000002</v>
      </c>
      <c r="J92" s="54">
        <f t="shared" si="38"/>
        <v>3.800000000000002</v>
      </c>
      <c r="K92" s="54">
        <f t="shared" si="39"/>
        <v>3.800000000000002</v>
      </c>
      <c r="L92" s="54">
        <f t="shared" si="40"/>
        <v>3.800000000000002</v>
      </c>
      <c r="M92" s="54">
        <f t="shared" si="41"/>
        <v>16.520848056537098</v>
      </c>
      <c r="N92" s="54">
        <f t="shared" si="42"/>
        <v>3.800000000000002</v>
      </c>
      <c r="O92" s="54">
        <f t="shared" si="43"/>
        <v>3.800000000000002</v>
      </c>
      <c r="P92" s="54">
        <f t="shared" si="44"/>
        <v>16.599999999999998</v>
      </c>
      <c r="Q92" s="54">
        <f t="shared" si="45"/>
        <v>3.800000000000002</v>
      </c>
      <c r="R92" s="54">
        <f t="shared" si="46"/>
        <v>13.556097560975596</v>
      </c>
      <c r="S92" s="54">
        <f t="shared" si="47"/>
        <v>3.800000000000002</v>
      </c>
      <c r="T92" s="54">
        <f t="shared" si="48"/>
        <v>3.800000000000002</v>
      </c>
      <c r="U92" s="54">
        <f t="shared" si="49"/>
        <v>3.800000000000002</v>
      </c>
      <c r="V92" s="54">
        <f t="shared" si="50"/>
        <v>3.800000000000002</v>
      </c>
      <c r="W92" s="54">
        <f t="shared" si="51"/>
        <v>3.800000000000002</v>
      </c>
      <c r="X92" s="54">
        <f t="shared" si="52"/>
        <v>3.800000000000002</v>
      </c>
      <c r="Y92" s="54">
        <f t="shared" si="53"/>
        <v>15.046943765281187</v>
      </c>
      <c r="Z92" s="54">
        <f t="shared" si="54"/>
        <v>3.800000000000002</v>
      </c>
      <c r="AA92" s="54">
        <f t="shared" si="55"/>
        <v>16.545098039215695</v>
      </c>
      <c r="AB92" s="54">
        <f t="shared" si="56"/>
        <v>13.556097560975596</v>
      </c>
      <c r="AC92" s="54">
        <f t="shared" si="57"/>
        <v>3.800000000000002</v>
      </c>
      <c r="AD92" s="54">
        <f t="shared" si="58"/>
        <v>15.590878754171285</v>
      </c>
      <c r="AF92" s="54"/>
      <c r="AG92" s="54"/>
      <c r="AI92" s="54">
        <f t="shared" si="59"/>
        <v>3.800000000000002</v>
      </c>
      <c r="AJ92" s="54">
        <f t="shared" si="60"/>
        <v>88</v>
      </c>
    </row>
    <row r="93" spans="2:36" hidden="1" x14ac:dyDescent="0.25">
      <c r="B93" s="51"/>
      <c r="C93" s="55"/>
      <c r="D93" s="55"/>
      <c r="E93" s="54">
        <v>89</v>
      </c>
      <c r="F93" s="54">
        <f t="shared" si="34"/>
        <v>11.959701492537297</v>
      </c>
      <c r="G93" s="54">
        <f t="shared" si="35"/>
        <v>29.575675675675758</v>
      </c>
      <c r="H93" s="54">
        <f t="shared" si="36"/>
        <v>3.9000000000000021</v>
      </c>
      <c r="I93" s="54">
        <f t="shared" si="37"/>
        <v>3.9000000000000021</v>
      </c>
      <c r="J93" s="54">
        <f t="shared" si="38"/>
        <v>3.9000000000000021</v>
      </c>
      <c r="K93" s="54">
        <f t="shared" si="39"/>
        <v>3.9000000000000021</v>
      </c>
      <c r="L93" s="54">
        <f t="shared" si="40"/>
        <v>3.9000000000000021</v>
      </c>
      <c r="M93" s="54">
        <f t="shared" si="41"/>
        <v>16.620848056537099</v>
      </c>
      <c r="N93" s="54">
        <f t="shared" si="42"/>
        <v>3.9000000000000021</v>
      </c>
      <c r="O93" s="54">
        <f t="shared" si="43"/>
        <v>3.9000000000000021</v>
      </c>
      <c r="P93" s="54">
        <f t="shared" si="44"/>
        <v>16.7</v>
      </c>
      <c r="Q93" s="54">
        <f t="shared" si="45"/>
        <v>3.9000000000000021</v>
      </c>
      <c r="R93" s="54">
        <f t="shared" si="46"/>
        <v>13.656097560975596</v>
      </c>
      <c r="S93" s="54">
        <f t="shared" si="47"/>
        <v>3.9000000000000021</v>
      </c>
      <c r="T93" s="54">
        <f t="shared" si="48"/>
        <v>3.9000000000000021</v>
      </c>
      <c r="U93" s="54">
        <f t="shared" si="49"/>
        <v>3.9000000000000021</v>
      </c>
      <c r="V93" s="54">
        <f t="shared" si="50"/>
        <v>3.9000000000000021</v>
      </c>
      <c r="W93" s="54">
        <f t="shared" si="51"/>
        <v>3.9000000000000021</v>
      </c>
      <c r="X93" s="54">
        <f t="shared" si="52"/>
        <v>3.9000000000000021</v>
      </c>
      <c r="Y93" s="54">
        <f t="shared" si="53"/>
        <v>15.146943765281186</v>
      </c>
      <c r="Z93" s="54">
        <f t="shared" si="54"/>
        <v>3.9000000000000021</v>
      </c>
      <c r="AA93" s="54">
        <f t="shared" si="55"/>
        <v>16.645098039215696</v>
      </c>
      <c r="AB93" s="54">
        <f t="shared" si="56"/>
        <v>13.656097560975596</v>
      </c>
      <c r="AC93" s="54">
        <f t="shared" si="57"/>
        <v>3.9000000000000021</v>
      </c>
      <c r="AD93" s="54">
        <f t="shared" si="58"/>
        <v>15.690878754171285</v>
      </c>
      <c r="AF93" s="54"/>
      <c r="AG93" s="54"/>
      <c r="AI93" s="54">
        <f t="shared" si="59"/>
        <v>3.9000000000000021</v>
      </c>
      <c r="AJ93" s="54">
        <f t="shared" si="60"/>
        <v>89</v>
      </c>
    </row>
    <row r="94" spans="2:36" hidden="1" x14ac:dyDescent="0.25">
      <c r="B94" s="51"/>
      <c r="C94" s="55"/>
      <c r="D94" s="55"/>
      <c r="E94" s="54">
        <v>90</v>
      </c>
      <c r="F94" s="54">
        <f t="shared" si="34"/>
        <v>12.059701492537297</v>
      </c>
      <c r="G94" s="54">
        <f t="shared" si="35"/>
        <v>29.675675675675759</v>
      </c>
      <c r="H94" s="54">
        <f t="shared" si="36"/>
        <v>4.0000000000000018</v>
      </c>
      <c r="I94" s="54">
        <f t="shared" si="37"/>
        <v>4.0000000000000018</v>
      </c>
      <c r="J94" s="54">
        <f t="shared" si="38"/>
        <v>4.0000000000000018</v>
      </c>
      <c r="K94" s="54">
        <f t="shared" si="39"/>
        <v>4.0000000000000018</v>
      </c>
      <c r="L94" s="54">
        <f t="shared" si="40"/>
        <v>4.0000000000000018</v>
      </c>
      <c r="M94" s="54">
        <f t="shared" si="41"/>
        <v>16.7208480565371</v>
      </c>
      <c r="N94" s="54">
        <f t="shared" si="42"/>
        <v>4.0000000000000018</v>
      </c>
      <c r="O94" s="54">
        <f t="shared" si="43"/>
        <v>4.0000000000000018</v>
      </c>
      <c r="P94" s="54">
        <f t="shared" si="44"/>
        <v>16.8</v>
      </c>
      <c r="Q94" s="54">
        <f t="shared" si="45"/>
        <v>4.0000000000000018</v>
      </c>
      <c r="R94" s="54">
        <f t="shared" si="46"/>
        <v>13.756097560975595</v>
      </c>
      <c r="S94" s="54">
        <f t="shared" si="47"/>
        <v>4.0000000000000018</v>
      </c>
      <c r="T94" s="54">
        <f t="shared" si="48"/>
        <v>4.0000000000000018</v>
      </c>
      <c r="U94" s="54">
        <f t="shared" si="49"/>
        <v>4.0000000000000018</v>
      </c>
      <c r="V94" s="54">
        <f t="shared" si="50"/>
        <v>4.0000000000000018</v>
      </c>
      <c r="W94" s="54">
        <f t="shared" si="51"/>
        <v>4.0000000000000018</v>
      </c>
      <c r="X94" s="54">
        <f t="shared" si="52"/>
        <v>4.0000000000000018</v>
      </c>
      <c r="Y94" s="54">
        <f t="shared" si="53"/>
        <v>15.246943765281186</v>
      </c>
      <c r="Z94" s="54">
        <f t="shared" si="54"/>
        <v>4.0000000000000018</v>
      </c>
      <c r="AA94" s="54">
        <f t="shared" si="55"/>
        <v>16.745098039215698</v>
      </c>
      <c r="AB94" s="54">
        <f t="shared" si="56"/>
        <v>13.756097560975595</v>
      </c>
      <c r="AC94" s="54">
        <f t="shared" si="57"/>
        <v>4.0000000000000018</v>
      </c>
      <c r="AD94" s="54">
        <f t="shared" si="58"/>
        <v>15.790878754171285</v>
      </c>
      <c r="AF94" s="54"/>
      <c r="AG94" s="54"/>
      <c r="AI94" s="54">
        <f t="shared" si="59"/>
        <v>4.0000000000000018</v>
      </c>
      <c r="AJ94" s="54">
        <f t="shared" si="60"/>
        <v>90</v>
      </c>
    </row>
    <row r="95" spans="2:36" hidden="1" x14ac:dyDescent="0.25">
      <c r="B95" s="51"/>
      <c r="C95" s="55"/>
      <c r="D95" s="55"/>
      <c r="E95" s="54">
        <v>91</v>
      </c>
      <c r="F95" s="54">
        <f t="shared" si="34"/>
        <v>12.159701492537296</v>
      </c>
      <c r="G95" s="54">
        <f t="shared" si="35"/>
        <v>29.77567567567576</v>
      </c>
      <c r="H95" s="54">
        <f t="shared" si="36"/>
        <v>4.1000000000000014</v>
      </c>
      <c r="I95" s="54">
        <f t="shared" si="37"/>
        <v>4.1000000000000014</v>
      </c>
      <c r="J95" s="54">
        <f t="shared" si="38"/>
        <v>4.1000000000000014</v>
      </c>
      <c r="K95" s="54">
        <f t="shared" si="39"/>
        <v>4.1000000000000014</v>
      </c>
      <c r="L95" s="54">
        <f t="shared" si="40"/>
        <v>4.1000000000000014</v>
      </c>
      <c r="M95" s="54">
        <f t="shared" si="41"/>
        <v>16.820848056537102</v>
      </c>
      <c r="N95" s="54">
        <f t="shared" si="42"/>
        <v>4.1000000000000014</v>
      </c>
      <c r="O95" s="54">
        <f t="shared" si="43"/>
        <v>4.1000000000000014</v>
      </c>
      <c r="P95" s="54">
        <f t="shared" si="44"/>
        <v>16.900000000000002</v>
      </c>
      <c r="Q95" s="54">
        <f t="shared" si="45"/>
        <v>4.1000000000000014</v>
      </c>
      <c r="R95" s="54">
        <f t="shared" si="46"/>
        <v>13.856097560975595</v>
      </c>
      <c r="S95" s="54">
        <f t="shared" si="47"/>
        <v>4.1000000000000014</v>
      </c>
      <c r="T95" s="54">
        <f t="shared" si="48"/>
        <v>4.1000000000000014</v>
      </c>
      <c r="U95" s="54">
        <f t="shared" si="49"/>
        <v>4.1000000000000014</v>
      </c>
      <c r="V95" s="54">
        <f t="shared" si="50"/>
        <v>4.1000000000000014</v>
      </c>
      <c r="W95" s="54">
        <f t="shared" si="51"/>
        <v>4.1000000000000014</v>
      </c>
      <c r="X95" s="54">
        <f t="shared" si="52"/>
        <v>4.1000000000000014</v>
      </c>
      <c r="Y95" s="54">
        <f t="shared" si="53"/>
        <v>15.346943765281186</v>
      </c>
      <c r="Z95" s="54">
        <f t="shared" si="54"/>
        <v>4.1000000000000014</v>
      </c>
      <c r="AA95" s="54">
        <f t="shared" si="55"/>
        <v>16.845098039215699</v>
      </c>
      <c r="AB95" s="54">
        <f t="shared" si="56"/>
        <v>13.856097560975595</v>
      </c>
      <c r="AC95" s="54">
        <f t="shared" si="57"/>
        <v>4.1000000000000014</v>
      </c>
      <c r="AD95" s="54">
        <f t="shared" si="58"/>
        <v>15.890878754171284</v>
      </c>
      <c r="AF95" s="54"/>
      <c r="AG95" s="54"/>
      <c r="AI95" s="54">
        <f t="shared" si="59"/>
        <v>4.1000000000000014</v>
      </c>
      <c r="AJ95" s="54">
        <f t="shared" si="60"/>
        <v>91</v>
      </c>
    </row>
    <row r="96" spans="2:36" hidden="1" x14ac:dyDescent="0.25">
      <c r="B96" s="51"/>
      <c r="C96" s="55"/>
      <c r="D96" s="55"/>
      <c r="E96" s="54">
        <v>92</v>
      </c>
      <c r="F96" s="54">
        <f t="shared" si="34"/>
        <v>12.259701492537296</v>
      </c>
      <c r="G96" s="54">
        <f t="shared" si="35"/>
        <v>29.875675675675762</v>
      </c>
      <c r="H96" s="54">
        <f t="shared" si="36"/>
        <v>4.2000000000000011</v>
      </c>
      <c r="I96" s="54">
        <f t="shared" si="37"/>
        <v>4.2000000000000011</v>
      </c>
      <c r="J96" s="54">
        <f t="shared" si="38"/>
        <v>4.2000000000000011</v>
      </c>
      <c r="K96" s="54">
        <f t="shared" si="39"/>
        <v>4.2000000000000011</v>
      </c>
      <c r="L96" s="54">
        <f t="shared" si="40"/>
        <v>4.2000000000000011</v>
      </c>
      <c r="M96" s="54">
        <f t="shared" si="41"/>
        <v>16.920848056537103</v>
      </c>
      <c r="N96" s="54">
        <f t="shared" si="42"/>
        <v>4.2000000000000011</v>
      </c>
      <c r="O96" s="54">
        <f t="shared" si="43"/>
        <v>4.2000000000000011</v>
      </c>
      <c r="P96" s="54">
        <f t="shared" si="44"/>
        <v>17.000000000000004</v>
      </c>
      <c r="Q96" s="54">
        <f t="shared" si="45"/>
        <v>4.2000000000000011</v>
      </c>
      <c r="R96" s="54">
        <f t="shared" si="46"/>
        <v>13.956097560975595</v>
      </c>
      <c r="S96" s="54">
        <f t="shared" si="47"/>
        <v>4.2000000000000011</v>
      </c>
      <c r="T96" s="54">
        <f t="shared" si="48"/>
        <v>4.2000000000000011</v>
      </c>
      <c r="U96" s="54">
        <f t="shared" si="49"/>
        <v>4.2000000000000011</v>
      </c>
      <c r="V96" s="54">
        <f t="shared" si="50"/>
        <v>4.2000000000000011</v>
      </c>
      <c r="W96" s="54">
        <f t="shared" si="51"/>
        <v>4.2000000000000011</v>
      </c>
      <c r="X96" s="54">
        <f t="shared" si="52"/>
        <v>4.2000000000000011</v>
      </c>
      <c r="Y96" s="54">
        <f t="shared" si="53"/>
        <v>15.446943765281185</v>
      </c>
      <c r="Z96" s="54">
        <f t="shared" si="54"/>
        <v>4.2000000000000011</v>
      </c>
      <c r="AA96" s="54">
        <f t="shared" si="55"/>
        <v>16.945098039215701</v>
      </c>
      <c r="AB96" s="54">
        <f t="shared" si="56"/>
        <v>13.956097560975595</v>
      </c>
      <c r="AC96" s="54">
        <f t="shared" si="57"/>
        <v>4.2000000000000011</v>
      </c>
      <c r="AD96" s="54">
        <f t="shared" si="58"/>
        <v>15.990878754171284</v>
      </c>
      <c r="AF96" s="54"/>
      <c r="AG96" s="54"/>
      <c r="AI96" s="54">
        <f t="shared" si="59"/>
        <v>4.2000000000000011</v>
      </c>
      <c r="AJ96" s="54">
        <f t="shared" si="60"/>
        <v>92</v>
      </c>
    </row>
    <row r="97" spans="2:36" hidden="1" x14ac:dyDescent="0.25">
      <c r="B97" s="51"/>
      <c r="C97" s="55"/>
      <c r="D97" s="55"/>
      <c r="E97" s="54">
        <v>93</v>
      </c>
      <c r="F97" s="54">
        <f t="shared" si="34"/>
        <v>12.359701492537296</v>
      </c>
      <c r="G97" s="54">
        <f t="shared" si="35"/>
        <v>29.975675675675763</v>
      </c>
      <c r="H97" s="54">
        <f t="shared" si="36"/>
        <v>4.3000000000000007</v>
      </c>
      <c r="I97" s="54">
        <f t="shared" si="37"/>
        <v>4.3000000000000007</v>
      </c>
      <c r="J97" s="54">
        <f t="shared" si="38"/>
        <v>4.3000000000000007</v>
      </c>
      <c r="K97" s="54">
        <f t="shared" si="39"/>
        <v>4.3000000000000007</v>
      </c>
      <c r="L97" s="54">
        <f t="shared" si="40"/>
        <v>4.3000000000000007</v>
      </c>
      <c r="M97" s="54">
        <f t="shared" si="41"/>
        <v>17.020848056537105</v>
      </c>
      <c r="N97" s="54">
        <f t="shared" si="42"/>
        <v>4.3000000000000007</v>
      </c>
      <c r="O97" s="54">
        <f t="shared" si="43"/>
        <v>4.3000000000000007</v>
      </c>
      <c r="P97" s="54">
        <f t="shared" si="44"/>
        <v>17.100000000000005</v>
      </c>
      <c r="Q97" s="54">
        <f t="shared" si="45"/>
        <v>4.3000000000000007</v>
      </c>
      <c r="R97" s="54">
        <f t="shared" si="46"/>
        <v>14.056097560975594</v>
      </c>
      <c r="S97" s="54">
        <f t="shared" si="47"/>
        <v>4.3000000000000007</v>
      </c>
      <c r="T97" s="54">
        <f t="shared" si="48"/>
        <v>4.3000000000000007</v>
      </c>
      <c r="U97" s="54">
        <f t="shared" si="49"/>
        <v>4.3000000000000007</v>
      </c>
      <c r="V97" s="54">
        <f t="shared" si="50"/>
        <v>4.3000000000000007</v>
      </c>
      <c r="W97" s="54">
        <f t="shared" si="51"/>
        <v>4.3000000000000007</v>
      </c>
      <c r="X97" s="54">
        <f t="shared" si="52"/>
        <v>4.3000000000000007</v>
      </c>
      <c r="Y97" s="54">
        <f t="shared" si="53"/>
        <v>15.546943765281185</v>
      </c>
      <c r="Z97" s="54">
        <f t="shared" si="54"/>
        <v>4.3000000000000007</v>
      </c>
      <c r="AA97" s="54">
        <f t="shared" si="55"/>
        <v>17.045098039215702</v>
      </c>
      <c r="AB97" s="54">
        <f t="shared" si="56"/>
        <v>14.056097560975594</v>
      </c>
      <c r="AC97" s="54">
        <f t="shared" si="57"/>
        <v>4.3000000000000007</v>
      </c>
      <c r="AD97" s="54">
        <f t="shared" si="58"/>
        <v>16.090878754171285</v>
      </c>
      <c r="AF97" s="54"/>
      <c r="AG97" s="54"/>
      <c r="AI97" s="54">
        <f t="shared" si="59"/>
        <v>4.3000000000000007</v>
      </c>
      <c r="AJ97" s="54">
        <f t="shared" si="60"/>
        <v>93</v>
      </c>
    </row>
    <row r="98" spans="2:36" hidden="1" x14ac:dyDescent="0.25">
      <c r="B98" s="51"/>
      <c r="C98" s="57"/>
      <c r="D98" s="57"/>
      <c r="E98" s="54">
        <v>94</v>
      </c>
      <c r="F98" s="54">
        <f t="shared" si="34"/>
        <v>12.459701492537295</v>
      </c>
      <c r="G98" s="54">
        <f t="shared" si="35"/>
        <v>30.075675675675765</v>
      </c>
      <c r="H98" s="54">
        <f t="shared" si="36"/>
        <v>4.4000000000000004</v>
      </c>
      <c r="I98" s="54">
        <f t="shared" si="37"/>
        <v>4.4000000000000004</v>
      </c>
      <c r="J98" s="54">
        <f t="shared" si="38"/>
        <v>4.4000000000000004</v>
      </c>
      <c r="K98" s="54">
        <f t="shared" si="39"/>
        <v>4.4000000000000004</v>
      </c>
      <c r="L98" s="54">
        <f t="shared" si="40"/>
        <v>4.4000000000000004</v>
      </c>
      <c r="M98" s="54">
        <f t="shared" si="41"/>
        <v>17.120848056537106</v>
      </c>
      <c r="N98" s="54">
        <f t="shared" si="42"/>
        <v>4.4000000000000004</v>
      </c>
      <c r="O98" s="54">
        <f t="shared" si="43"/>
        <v>4.4000000000000004</v>
      </c>
      <c r="P98" s="54">
        <f t="shared" si="44"/>
        <v>17.200000000000006</v>
      </c>
      <c r="Q98" s="54">
        <f t="shared" si="45"/>
        <v>4.4000000000000004</v>
      </c>
      <c r="R98" s="54">
        <f t="shared" si="46"/>
        <v>14.156097560975594</v>
      </c>
      <c r="S98" s="54">
        <f t="shared" si="47"/>
        <v>4.4000000000000004</v>
      </c>
      <c r="T98" s="54">
        <f t="shared" si="48"/>
        <v>4.4000000000000004</v>
      </c>
      <c r="U98" s="54">
        <f t="shared" si="49"/>
        <v>4.4000000000000004</v>
      </c>
      <c r="V98" s="54">
        <f t="shared" si="50"/>
        <v>4.4000000000000004</v>
      </c>
      <c r="W98" s="54">
        <f t="shared" si="51"/>
        <v>4.4000000000000004</v>
      </c>
      <c r="X98" s="54">
        <f t="shared" si="52"/>
        <v>4.4000000000000004</v>
      </c>
      <c r="Y98" s="54">
        <f t="shared" si="53"/>
        <v>15.646943765281184</v>
      </c>
      <c r="Z98" s="54">
        <f t="shared" si="54"/>
        <v>4.4000000000000004</v>
      </c>
      <c r="AA98" s="54">
        <f t="shared" si="55"/>
        <v>17.145098039215704</v>
      </c>
      <c r="AB98" s="54">
        <f t="shared" si="56"/>
        <v>14.156097560975594</v>
      </c>
      <c r="AC98" s="54">
        <f t="shared" si="57"/>
        <v>4.4000000000000004</v>
      </c>
      <c r="AD98" s="54">
        <f t="shared" si="58"/>
        <v>16.190878754171287</v>
      </c>
      <c r="AF98" s="54"/>
      <c r="AG98" s="54"/>
      <c r="AI98" s="54">
        <f t="shared" si="59"/>
        <v>4.4000000000000004</v>
      </c>
      <c r="AJ98" s="54">
        <f t="shared" si="60"/>
        <v>94</v>
      </c>
    </row>
    <row r="99" spans="2:36" hidden="1" x14ac:dyDescent="0.25">
      <c r="B99" s="51"/>
      <c r="C99" s="57"/>
      <c r="D99" s="57"/>
      <c r="E99" s="54">
        <v>95</v>
      </c>
      <c r="F99" s="54">
        <f t="shared" si="34"/>
        <v>12.559701492537295</v>
      </c>
      <c r="G99" s="54">
        <f t="shared" si="35"/>
        <v>30.175675675675766</v>
      </c>
      <c r="H99" s="54">
        <f t="shared" si="36"/>
        <v>4.5</v>
      </c>
      <c r="I99" s="54">
        <f t="shared" si="37"/>
        <v>4.5</v>
      </c>
      <c r="J99" s="54">
        <f t="shared" si="38"/>
        <v>4.5</v>
      </c>
      <c r="K99" s="54">
        <f t="shared" si="39"/>
        <v>4.5</v>
      </c>
      <c r="L99" s="54">
        <f t="shared" si="40"/>
        <v>4.5</v>
      </c>
      <c r="M99" s="54">
        <f t="shared" si="41"/>
        <v>17.220848056537108</v>
      </c>
      <c r="N99" s="54">
        <f t="shared" si="42"/>
        <v>4.5</v>
      </c>
      <c r="O99" s="54">
        <f t="shared" si="43"/>
        <v>4.5</v>
      </c>
      <c r="P99" s="54">
        <f t="shared" si="44"/>
        <v>17.300000000000008</v>
      </c>
      <c r="Q99" s="54">
        <f t="shared" si="45"/>
        <v>4.5</v>
      </c>
      <c r="R99" s="54">
        <f t="shared" si="46"/>
        <v>14.256097560975594</v>
      </c>
      <c r="S99" s="54">
        <f t="shared" si="47"/>
        <v>4.5</v>
      </c>
      <c r="T99" s="54">
        <f t="shared" si="48"/>
        <v>4.5</v>
      </c>
      <c r="U99" s="54">
        <f t="shared" si="49"/>
        <v>4.5</v>
      </c>
      <c r="V99" s="54">
        <f t="shared" si="50"/>
        <v>4.5</v>
      </c>
      <c r="W99" s="54">
        <f t="shared" si="51"/>
        <v>4.5</v>
      </c>
      <c r="X99" s="54">
        <f t="shared" si="52"/>
        <v>4.5</v>
      </c>
      <c r="Y99" s="54">
        <f t="shared" si="53"/>
        <v>15.746943765281184</v>
      </c>
      <c r="Z99" s="54">
        <f t="shared" si="54"/>
        <v>4.5</v>
      </c>
      <c r="AA99" s="54">
        <f t="shared" si="55"/>
        <v>17.245098039215705</v>
      </c>
      <c r="AB99" s="54">
        <f t="shared" si="56"/>
        <v>14.256097560975594</v>
      </c>
      <c r="AC99" s="54">
        <f t="shared" si="57"/>
        <v>4.5</v>
      </c>
      <c r="AD99" s="54">
        <f t="shared" si="58"/>
        <v>16.290878754171288</v>
      </c>
      <c r="AF99" s="54"/>
      <c r="AG99" s="54"/>
      <c r="AI99" s="54">
        <f t="shared" si="59"/>
        <v>4.5</v>
      </c>
      <c r="AJ99" s="54">
        <f t="shared" si="60"/>
        <v>95</v>
      </c>
    </row>
    <row r="100" spans="2:36" hidden="1" x14ac:dyDescent="0.25">
      <c r="B100" s="51"/>
      <c r="C100" s="58"/>
      <c r="D100" s="58"/>
      <c r="E100" s="54">
        <v>96</v>
      </c>
      <c r="F100" s="54">
        <f t="shared" si="34"/>
        <v>12.659701492537295</v>
      </c>
      <c r="G100" s="54">
        <f t="shared" si="35"/>
        <v>30.275675675675767</v>
      </c>
      <c r="H100" s="54">
        <f t="shared" si="36"/>
        <v>4.5999999999999996</v>
      </c>
      <c r="I100" s="54">
        <f t="shared" si="37"/>
        <v>4.5999999999999996</v>
      </c>
      <c r="J100" s="54">
        <f t="shared" si="38"/>
        <v>4.5999999999999996</v>
      </c>
      <c r="K100" s="54">
        <f t="shared" si="39"/>
        <v>4.5999999999999996</v>
      </c>
      <c r="L100" s="54">
        <f t="shared" si="40"/>
        <v>4.5999999999999996</v>
      </c>
      <c r="M100" s="54">
        <f t="shared" si="41"/>
        <v>17.320848056537109</v>
      </c>
      <c r="N100" s="54">
        <f t="shared" si="42"/>
        <v>4.5999999999999996</v>
      </c>
      <c r="O100" s="54">
        <f t="shared" si="43"/>
        <v>4.5999999999999996</v>
      </c>
      <c r="P100" s="54">
        <f t="shared" si="44"/>
        <v>17.400000000000009</v>
      </c>
      <c r="Q100" s="54">
        <f t="shared" si="45"/>
        <v>4.5999999999999996</v>
      </c>
      <c r="R100" s="54">
        <f t="shared" si="46"/>
        <v>14.356097560975593</v>
      </c>
      <c r="S100" s="54">
        <f t="shared" si="47"/>
        <v>4.5999999999999996</v>
      </c>
      <c r="T100" s="54">
        <f t="shared" si="48"/>
        <v>4.5999999999999996</v>
      </c>
      <c r="U100" s="54">
        <f t="shared" si="49"/>
        <v>4.5999999999999996</v>
      </c>
      <c r="V100" s="54">
        <f t="shared" si="50"/>
        <v>4.5999999999999996</v>
      </c>
      <c r="W100" s="54">
        <f t="shared" si="51"/>
        <v>4.5999999999999996</v>
      </c>
      <c r="X100" s="54">
        <f t="shared" si="52"/>
        <v>4.5999999999999996</v>
      </c>
      <c r="Y100" s="54">
        <f t="shared" si="53"/>
        <v>15.846943765281184</v>
      </c>
      <c r="Z100" s="54">
        <f t="shared" si="54"/>
        <v>4.5999999999999996</v>
      </c>
      <c r="AA100" s="54">
        <f t="shared" si="55"/>
        <v>17.345098039215706</v>
      </c>
      <c r="AB100" s="54">
        <f t="shared" si="56"/>
        <v>14.356097560975593</v>
      </c>
      <c r="AC100" s="54">
        <f t="shared" si="57"/>
        <v>4.5999999999999996</v>
      </c>
      <c r="AD100" s="54">
        <f t="shared" si="58"/>
        <v>16.39087875417129</v>
      </c>
      <c r="AF100" s="54"/>
      <c r="AG100" s="54"/>
      <c r="AI100" s="54">
        <f t="shared" si="59"/>
        <v>4.5999999999999996</v>
      </c>
      <c r="AJ100" s="54">
        <f t="shared" si="60"/>
        <v>96</v>
      </c>
    </row>
    <row r="101" spans="2:36" hidden="1" x14ac:dyDescent="0.25">
      <c r="B101" s="51"/>
      <c r="C101" s="55"/>
      <c r="D101" s="55"/>
      <c r="E101" s="54">
        <v>97</v>
      </c>
      <c r="F101" s="54">
        <f t="shared" si="34"/>
        <v>12.759701492537294</v>
      </c>
      <c r="G101" s="54">
        <f t="shared" si="35"/>
        <v>30.375675675675769</v>
      </c>
      <c r="H101" s="54">
        <f t="shared" si="36"/>
        <v>4.6999999999999993</v>
      </c>
      <c r="I101" s="54">
        <f t="shared" si="37"/>
        <v>4.6999999999999993</v>
      </c>
      <c r="J101" s="54">
        <f t="shared" si="38"/>
        <v>4.6999999999999993</v>
      </c>
      <c r="K101" s="54">
        <f t="shared" si="39"/>
        <v>4.6999999999999993</v>
      </c>
      <c r="L101" s="54">
        <f t="shared" si="40"/>
        <v>4.6999999999999993</v>
      </c>
      <c r="M101" s="54">
        <f t="shared" si="41"/>
        <v>17.42084805653711</v>
      </c>
      <c r="N101" s="54">
        <f t="shared" si="42"/>
        <v>4.6999999999999993</v>
      </c>
      <c r="O101" s="54">
        <f t="shared" si="43"/>
        <v>4.6999999999999993</v>
      </c>
      <c r="P101" s="54">
        <f t="shared" si="44"/>
        <v>17.500000000000011</v>
      </c>
      <c r="Q101" s="54">
        <f t="shared" si="45"/>
        <v>4.6999999999999993</v>
      </c>
      <c r="R101" s="54">
        <f t="shared" si="46"/>
        <v>14.456097560975593</v>
      </c>
      <c r="S101" s="54">
        <f t="shared" si="47"/>
        <v>4.6999999999999993</v>
      </c>
      <c r="T101" s="54">
        <f t="shared" si="48"/>
        <v>4.6999999999999993</v>
      </c>
      <c r="U101" s="54">
        <f t="shared" si="49"/>
        <v>4.6999999999999993</v>
      </c>
      <c r="V101" s="54">
        <f t="shared" si="50"/>
        <v>4.6999999999999993</v>
      </c>
      <c r="W101" s="54">
        <f t="shared" si="51"/>
        <v>4.6999999999999993</v>
      </c>
      <c r="X101" s="54">
        <f t="shared" si="52"/>
        <v>4.6999999999999993</v>
      </c>
      <c r="Y101" s="54">
        <f t="shared" si="53"/>
        <v>15.946943765281183</v>
      </c>
      <c r="Z101" s="54">
        <f t="shared" si="54"/>
        <v>4.6999999999999993</v>
      </c>
      <c r="AA101" s="54">
        <f t="shared" si="55"/>
        <v>17.445098039215708</v>
      </c>
      <c r="AB101" s="54">
        <f t="shared" si="56"/>
        <v>14.456097560975593</v>
      </c>
      <c r="AC101" s="54">
        <f t="shared" si="57"/>
        <v>4.6999999999999993</v>
      </c>
      <c r="AD101" s="54">
        <f t="shared" si="58"/>
        <v>16.490878754171291</v>
      </c>
      <c r="AF101" s="54"/>
      <c r="AG101" s="54"/>
      <c r="AI101" s="54">
        <f t="shared" si="59"/>
        <v>4.6999999999999993</v>
      </c>
      <c r="AJ101" s="54">
        <f t="shared" si="60"/>
        <v>97</v>
      </c>
    </row>
    <row r="102" spans="2:36" hidden="1" x14ac:dyDescent="0.25">
      <c r="B102" s="51"/>
      <c r="C102" s="55"/>
      <c r="D102" s="55"/>
      <c r="E102" s="54">
        <v>98</v>
      </c>
      <c r="F102" s="54">
        <f t="shared" si="34"/>
        <v>12.859701492537294</v>
      </c>
      <c r="G102" s="54">
        <f t="shared" si="35"/>
        <v>30.47567567567577</v>
      </c>
      <c r="H102" s="54">
        <f t="shared" si="36"/>
        <v>4.7999999999999989</v>
      </c>
      <c r="I102" s="54">
        <f t="shared" si="37"/>
        <v>4.7999999999999989</v>
      </c>
      <c r="J102" s="54">
        <f t="shared" si="38"/>
        <v>4.7999999999999989</v>
      </c>
      <c r="K102" s="54">
        <f t="shared" si="39"/>
        <v>4.7999999999999989</v>
      </c>
      <c r="L102" s="54">
        <f t="shared" si="40"/>
        <v>4.7999999999999989</v>
      </c>
      <c r="M102" s="54">
        <f t="shared" si="41"/>
        <v>17.520848056537112</v>
      </c>
      <c r="N102" s="54">
        <f t="shared" si="42"/>
        <v>4.7999999999999989</v>
      </c>
      <c r="O102" s="54">
        <f t="shared" si="43"/>
        <v>4.7999999999999989</v>
      </c>
      <c r="P102" s="54">
        <f t="shared" si="44"/>
        <v>17.600000000000012</v>
      </c>
      <c r="Q102" s="54">
        <f t="shared" si="45"/>
        <v>4.7999999999999989</v>
      </c>
      <c r="R102" s="54">
        <f t="shared" si="46"/>
        <v>14.556097560975592</v>
      </c>
      <c r="S102" s="54">
        <f t="shared" si="47"/>
        <v>4.7999999999999989</v>
      </c>
      <c r="T102" s="54">
        <f t="shared" si="48"/>
        <v>4.7999999999999989</v>
      </c>
      <c r="U102" s="54">
        <f t="shared" si="49"/>
        <v>4.7999999999999989</v>
      </c>
      <c r="V102" s="54">
        <f t="shared" si="50"/>
        <v>4.7999999999999989</v>
      </c>
      <c r="W102" s="54">
        <f t="shared" si="51"/>
        <v>4.7999999999999989</v>
      </c>
      <c r="X102" s="54">
        <f t="shared" si="52"/>
        <v>4.7999999999999989</v>
      </c>
      <c r="Y102" s="54">
        <f t="shared" si="53"/>
        <v>16.046943765281185</v>
      </c>
      <c r="Z102" s="54">
        <f t="shared" si="54"/>
        <v>4.7999999999999989</v>
      </c>
      <c r="AA102" s="54">
        <f t="shared" si="55"/>
        <v>17.545098039215709</v>
      </c>
      <c r="AB102" s="54">
        <f t="shared" si="56"/>
        <v>14.556097560975592</v>
      </c>
      <c r="AC102" s="54">
        <f t="shared" si="57"/>
        <v>4.7999999999999989</v>
      </c>
      <c r="AD102" s="54">
        <f t="shared" si="58"/>
        <v>16.590878754171293</v>
      </c>
      <c r="AF102" s="54"/>
      <c r="AG102" s="54"/>
      <c r="AI102" s="54">
        <f t="shared" si="59"/>
        <v>4.7999999999999989</v>
      </c>
      <c r="AJ102" s="54">
        <f t="shared" si="60"/>
        <v>98</v>
      </c>
    </row>
    <row r="103" spans="2:36" hidden="1" x14ac:dyDescent="0.25">
      <c r="B103" s="51"/>
      <c r="C103" s="55"/>
      <c r="D103" s="55"/>
      <c r="E103" s="54">
        <v>99</v>
      </c>
      <c r="F103" s="54">
        <f t="shared" si="34"/>
        <v>12.959701492537294</v>
      </c>
      <c r="G103" s="54">
        <f t="shared" si="35"/>
        <v>30.575675675675772</v>
      </c>
      <c r="H103" s="54">
        <f t="shared" si="36"/>
        <v>4.8999999999999986</v>
      </c>
      <c r="I103" s="54">
        <f t="shared" si="37"/>
        <v>4.8999999999999986</v>
      </c>
      <c r="J103" s="54">
        <f t="shared" si="38"/>
        <v>4.8999999999999986</v>
      </c>
      <c r="K103" s="54">
        <f t="shared" si="39"/>
        <v>4.8999999999999986</v>
      </c>
      <c r="L103" s="54">
        <f t="shared" si="40"/>
        <v>4.8999999999999986</v>
      </c>
      <c r="M103" s="54">
        <f t="shared" si="41"/>
        <v>17.620848056537113</v>
      </c>
      <c r="N103" s="54">
        <f t="shared" si="42"/>
        <v>4.8999999999999986</v>
      </c>
      <c r="O103" s="54">
        <f t="shared" si="43"/>
        <v>4.8999999999999986</v>
      </c>
      <c r="P103" s="54">
        <f t="shared" si="44"/>
        <v>17.700000000000014</v>
      </c>
      <c r="Q103" s="54">
        <f t="shared" si="45"/>
        <v>4.8999999999999986</v>
      </c>
      <c r="R103" s="54">
        <f t="shared" si="46"/>
        <v>14.656097560975592</v>
      </c>
      <c r="S103" s="54">
        <f t="shared" si="47"/>
        <v>4.8999999999999986</v>
      </c>
      <c r="T103" s="54">
        <f t="shared" si="48"/>
        <v>4.8999999999999986</v>
      </c>
      <c r="U103" s="54">
        <f t="shared" si="49"/>
        <v>4.8999999999999986</v>
      </c>
      <c r="V103" s="54">
        <f t="shared" si="50"/>
        <v>4.8999999999999986</v>
      </c>
      <c r="W103" s="54">
        <f t="shared" si="51"/>
        <v>4.8999999999999986</v>
      </c>
      <c r="X103" s="54">
        <f t="shared" si="52"/>
        <v>4.8999999999999986</v>
      </c>
      <c r="Y103" s="54">
        <f t="shared" si="53"/>
        <v>16.146943765281186</v>
      </c>
      <c r="Z103" s="54">
        <f t="shared" si="54"/>
        <v>4.8999999999999986</v>
      </c>
      <c r="AA103" s="54">
        <f t="shared" si="55"/>
        <v>17.645098039215711</v>
      </c>
      <c r="AB103" s="54">
        <f t="shared" si="56"/>
        <v>14.656097560975592</v>
      </c>
      <c r="AC103" s="54">
        <f t="shared" si="57"/>
        <v>4.8999999999999986</v>
      </c>
      <c r="AD103" s="54">
        <f t="shared" si="58"/>
        <v>16.690878754171294</v>
      </c>
      <c r="AF103" s="54"/>
      <c r="AG103" s="54"/>
      <c r="AI103" s="54">
        <f t="shared" si="59"/>
        <v>4.8999999999999986</v>
      </c>
      <c r="AJ103" s="54">
        <f t="shared" si="60"/>
        <v>99</v>
      </c>
    </row>
    <row r="104" spans="2:36" hidden="1" x14ac:dyDescent="0.25">
      <c r="B104" s="51"/>
      <c r="C104" s="55"/>
      <c r="D104" s="55"/>
      <c r="E104" s="54">
        <v>100</v>
      </c>
      <c r="F104" s="54">
        <f t="shared" si="34"/>
        <v>13.059701492537293</v>
      </c>
      <c r="G104" s="54">
        <f t="shared" si="35"/>
        <v>30.675675675675773</v>
      </c>
      <c r="H104" s="54">
        <f t="shared" si="36"/>
        <v>4.9999999999999982</v>
      </c>
      <c r="I104" s="54">
        <f t="shared" si="37"/>
        <v>4.9999999999999982</v>
      </c>
      <c r="J104" s="54">
        <f t="shared" si="38"/>
        <v>4.9999999999999982</v>
      </c>
      <c r="K104" s="54">
        <f t="shared" si="39"/>
        <v>4.9999999999999982</v>
      </c>
      <c r="L104" s="54">
        <f t="shared" si="40"/>
        <v>4.9999999999999982</v>
      </c>
      <c r="M104" s="54">
        <f t="shared" si="41"/>
        <v>17.720848056537115</v>
      </c>
      <c r="N104" s="54">
        <f t="shared" si="42"/>
        <v>4.9999999999999982</v>
      </c>
      <c r="O104" s="54">
        <f t="shared" si="43"/>
        <v>4.9999999999999982</v>
      </c>
      <c r="P104" s="54">
        <f t="shared" si="44"/>
        <v>17.800000000000015</v>
      </c>
      <c r="Q104" s="54">
        <f t="shared" si="45"/>
        <v>4.9999999999999982</v>
      </c>
      <c r="R104" s="54">
        <f t="shared" si="46"/>
        <v>14.756097560975592</v>
      </c>
      <c r="S104" s="54">
        <f t="shared" si="47"/>
        <v>4.9999999999999982</v>
      </c>
      <c r="T104" s="54">
        <f t="shared" si="48"/>
        <v>4.9999999999999982</v>
      </c>
      <c r="U104" s="54">
        <f t="shared" si="49"/>
        <v>4.9999999999999982</v>
      </c>
      <c r="V104" s="54">
        <f t="shared" si="50"/>
        <v>4.9999999999999982</v>
      </c>
      <c r="W104" s="54">
        <f t="shared" si="51"/>
        <v>4.9999999999999982</v>
      </c>
      <c r="X104" s="54">
        <f t="shared" si="52"/>
        <v>4.9999999999999982</v>
      </c>
      <c r="Y104" s="54">
        <f t="shared" si="53"/>
        <v>16.246943765281188</v>
      </c>
      <c r="Z104" s="54">
        <f t="shared" si="54"/>
        <v>4.9999999999999982</v>
      </c>
      <c r="AA104" s="54">
        <f t="shared" si="55"/>
        <v>17.745098039215712</v>
      </c>
      <c r="AB104" s="54">
        <f t="shared" si="56"/>
        <v>14.756097560975592</v>
      </c>
      <c r="AC104" s="54">
        <f t="shared" si="57"/>
        <v>4.9999999999999982</v>
      </c>
      <c r="AD104" s="54">
        <f t="shared" si="58"/>
        <v>16.790878754171295</v>
      </c>
      <c r="AF104" s="54"/>
      <c r="AG104" s="54"/>
      <c r="AI104" s="54">
        <f t="shared" si="59"/>
        <v>4.9999999999999982</v>
      </c>
      <c r="AJ104" s="54">
        <f t="shared" si="60"/>
        <v>100</v>
      </c>
    </row>
    <row r="105" spans="2:36" hidden="1" x14ac:dyDescent="0.25">
      <c r="B105" s="51"/>
      <c r="C105" s="55"/>
      <c r="D105" s="55"/>
      <c r="E105" s="54">
        <v>101</v>
      </c>
      <c r="F105" s="54">
        <f t="shared" si="34"/>
        <v>13.159701492537293</v>
      </c>
      <c r="G105" s="54">
        <f t="shared" si="35"/>
        <v>30.775675675675775</v>
      </c>
      <c r="H105" s="54">
        <f t="shared" si="36"/>
        <v>5.0999999999999979</v>
      </c>
      <c r="I105" s="54">
        <f t="shared" si="37"/>
        <v>5.0999999999999979</v>
      </c>
      <c r="J105" s="54">
        <f t="shared" si="38"/>
        <v>5.0999999999999979</v>
      </c>
      <c r="K105" s="54">
        <f t="shared" si="39"/>
        <v>5.0999999999999979</v>
      </c>
      <c r="L105" s="54">
        <f t="shared" si="40"/>
        <v>5.0999999999999979</v>
      </c>
      <c r="M105" s="54">
        <f t="shared" si="41"/>
        <v>17.820848056537116</v>
      </c>
      <c r="N105" s="54">
        <f t="shared" si="42"/>
        <v>5.0999999999999979</v>
      </c>
      <c r="O105" s="54">
        <f t="shared" si="43"/>
        <v>5.0999999999999979</v>
      </c>
      <c r="P105" s="54">
        <f t="shared" si="44"/>
        <v>17.900000000000016</v>
      </c>
      <c r="Q105" s="54">
        <f t="shared" si="45"/>
        <v>5.0999999999999979</v>
      </c>
      <c r="R105" s="54">
        <f t="shared" si="46"/>
        <v>14.856097560975591</v>
      </c>
      <c r="S105" s="54">
        <f t="shared" si="47"/>
        <v>5.0999999999999979</v>
      </c>
      <c r="T105" s="54">
        <f t="shared" si="48"/>
        <v>5.0999999999999979</v>
      </c>
      <c r="U105" s="54">
        <f t="shared" si="49"/>
        <v>5.0999999999999979</v>
      </c>
      <c r="V105" s="54">
        <f t="shared" si="50"/>
        <v>5.0999999999999979</v>
      </c>
      <c r="W105" s="54">
        <f t="shared" si="51"/>
        <v>5.0999999999999979</v>
      </c>
      <c r="X105" s="54">
        <f t="shared" si="52"/>
        <v>5.0999999999999979</v>
      </c>
      <c r="Y105" s="54">
        <f t="shared" si="53"/>
        <v>16.346943765281189</v>
      </c>
      <c r="Z105" s="54">
        <f t="shared" si="54"/>
        <v>5.0999999999999979</v>
      </c>
      <c r="AA105" s="54">
        <f t="shared" si="55"/>
        <v>17.845098039215713</v>
      </c>
      <c r="AB105" s="54">
        <f t="shared" si="56"/>
        <v>14.856097560975591</v>
      </c>
      <c r="AC105" s="54">
        <f t="shared" si="57"/>
        <v>5.0999999999999979</v>
      </c>
      <c r="AD105" s="54">
        <f t="shared" si="58"/>
        <v>16.890878754171297</v>
      </c>
      <c r="AF105" s="54"/>
      <c r="AG105" s="54"/>
      <c r="AI105" s="54">
        <f t="shared" si="59"/>
        <v>5.0999999999999979</v>
      </c>
      <c r="AJ105" s="54">
        <f t="shared" si="60"/>
        <v>101</v>
      </c>
    </row>
    <row r="106" spans="2:36" hidden="1" x14ac:dyDescent="0.25">
      <c r="B106" s="51"/>
      <c r="C106" s="55"/>
      <c r="D106" s="55"/>
      <c r="E106" s="54">
        <v>102</v>
      </c>
      <c r="F106" s="54">
        <f t="shared" si="34"/>
        <v>13.259701492537292</v>
      </c>
      <c r="G106" s="54">
        <f t="shared" si="35"/>
        <v>30.875675675675776</v>
      </c>
      <c r="H106" s="54">
        <f t="shared" si="36"/>
        <v>5.1999999999999975</v>
      </c>
      <c r="I106" s="54">
        <f t="shared" si="37"/>
        <v>5.1999999999999975</v>
      </c>
      <c r="J106" s="54">
        <f t="shared" si="38"/>
        <v>5.1999999999999975</v>
      </c>
      <c r="K106" s="54">
        <f t="shared" si="39"/>
        <v>5.1999999999999975</v>
      </c>
      <c r="L106" s="54">
        <f t="shared" si="40"/>
        <v>5.1999999999999975</v>
      </c>
      <c r="M106" s="54">
        <f t="shared" si="41"/>
        <v>17.920848056537118</v>
      </c>
      <c r="N106" s="54">
        <f t="shared" si="42"/>
        <v>5.1999999999999975</v>
      </c>
      <c r="O106" s="54">
        <f t="shared" si="43"/>
        <v>5.1999999999999975</v>
      </c>
      <c r="P106" s="54">
        <f t="shared" si="44"/>
        <v>18.000000000000018</v>
      </c>
      <c r="Q106" s="54">
        <f t="shared" si="45"/>
        <v>5.1999999999999975</v>
      </c>
      <c r="R106" s="54">
        <f t="shared" si="46"/>
        <v>14.956097560975591</v>
      </c>
      <c r="S106" s="54">
        <f t="shared" si="47"/>
        <v>5.1999999999999975</v>
      </c>
      <c r="T106" s="54">
        <f t="shared" si="48"/>
        <v>5.1999999999999975</v>
      </c>
      <c r="U106" s="54">
        <f t="shared" si="49"/>
        <v>5.1999999999999975</v>
      </c>
      <c r="V106" s="54">
        <f t="shared" si="50"/>
        <v>5.1999999999999975</v>
      </c>
      <c r="W106" s="54">
        <f t="shared" si="51"/>
        <v>5.1999999999999975</v>
      </c>
      <c r="X106" s="54">
        <f t="shared" si="52"/>
        <v>5.1999999999999975</v>
      </c>
      <c r="Y106" s="54">
        <f t="shared" si="53"/>
        <v>16.446943765281191</v>
      </c>
      <c r="Z106" s="54">
        <f t="shared" si="54"/>
        <v>5.1999999999999975</v>
      </c>
      <c r="AA106" s="54">
        <f t="shared" si="55"/>
        <v>17.945098039215715</v>
      </c>
      <c r="AB106" s="54">
        <f t="shared" si="56"/>
        <v>14.956097560975591</v>
      </c>
      <c r="AC106" s="54">
        <f t="shared" si="57"/>
        <v>5.1999999999999975</v>
      </c>
      <c r="AD106" s="54">
        <f t="shared" si="58"/>
        <v>16.990878754171298</v>
      </c>
      <c r="AF106" s="54"/>
      <c r="AG106" s="54"/>
      <c r="AI106" s="54">
        <f t="shared" si="59"/>
        <v>5.1999999999999975</v>
      </c>
      <c r="AJ106" s="54">
        <f t="shared" si="60"/>
        <v>102</v>
      </c>
    </row>
    <row r="107" spans="2:36" hidden="1" x14ac:dyDescent="0.25">
      <c r="B107" s="51"/>
      <c r="C107" s="55"/>
      <c r="D107" s="55"/>
      <c r="E107" s="54">
        <v>103</v>
      </c>
      <c r="F107" s="54">
        <f t="shared" si="34"/>
        <v>13.359701492537292</v>
      </c>
      <c r="G107" s="54">
        <f t="shared" si="35"/>
        <v>30.975675675675777</v>
      </c>
      <c r="H107" s="54">
        <f t="shared" si="36"/>
        <v>5.2999999999999972</v>
      </c>
      <c r="I107" s="54">
        <f t="shared" si="37"/>
        <v>5.2999999999999972</v>
      </c>
      <c r="J107" s="54">
        <f t="shared" si="38"/>
        <v>5.2999999999999972</v>
      </c>
      <c r="K107" s="54">
        <f t="shared" si="39"/>
        <v>5.2999999999999972</v>
      </c>
      <c r="L107" s="54">
        <f t="shared" si="40"/>
        <v>5.2999999999999972</v>
      </c>
      <c r="M107" s="54">
        <f t="shared" si="41"/>
        <v>18.020848056537119</v>
      </c>
      <c r="N107" s="54">
        <f t="shared" si="42"/>
        <v>5.2999999999999972</v>
      </c>
      <c r="O107" s="54">
        <f t="shared" si="43"/>
        <v>5.2999999999999972</v>
      </c>
      <c r="P107" s="54">
        <f t="shared" si="44"/>
        <v>18.100000000000019</v>
      </c>
      <c r="Q107" s="54">
        <f t="shared" si="45"/>
        <v>5.2999999999999972</v>
      </c>
      <c r="R107" s="54">
        <f t="shared" si="46"/>
        <v>15.056097560975591</v>
      </c>
      <c r="S107" s="54">
        <f t="shared" si="47"/>
        <v>5.2999999999999972</v>
      </c>
      <c r="T107" s="54">
        <f t="shared" si="48"/>
        <v>5.2999999999999972</v>
      </c>
      <c r="U107" s="54">
        <f t="shared" si="49"/>
        <v>5.2999999999999972</v>
      </c>
      <c r="V107" s="54">
        <f t="shared" si="50"/>
        <v>5.2999999999999972</v>
      </c>
      <c r="W107" s="54">
        <f t="shared" si="51"/>
        <v>5.2999999999999972</v>
      </c>
      <c r="X107" s="54">
        <f t="shared" si="52"/>
        <v>5.2999999999999972</v>
      </c>
      <c r="Y107" s="54">
        <f t="shared" si="53"/>
        <v>16.546943765281192</v>
      </c>
      <c r="Z107" s="54">
        <f t="shared" si="54"/>
        <v>5.2999999999999972</v>
      </c>
      <c r="AA107" s="54">
        <f t="shared" si="55"/>
        <v>18.045098039215716</v>
      </c>
      <c r="AB107" s="54">
        <f t="shared" si="56"/>
        <v>15.056097560975591</v>
      </c>
      <c r="AC107" s="54">
        <f t="shared" si="57"/>
        <v>5.2999999999999972</v>
      </c>
      <c r="AD107" s="54">
        <f t="shared" si="58"/>
        <v>17.0908787541713</v>
      </c>
      <c r="AF107" s="54"/>
      <c r="AG107" s="54"/>
      <c r="AI107" s="54">
        <f t="shared" si="59"/>
        <v>5.2999999999999972</v>
      </c>
      <c r="AJ107" s="54">
        <f t="shared" si="60"/>
        <v>103</v>
      </c>
    </row>
    <row r="108" spans="2:36" hidden="1" x14ac:dyDescent="0.25">
      <c r="B108" s="51"/>
      <c r="C108" s="55"/>
      <c r="D108" s="58"/>
      <c r="E108" s="54">
        <v>104</v>
      </c>
      <c r="F108" s="54">
        <f t="shared" si="34"/>
        <v>13.459701492537292</v>
      </c>
      <c r="G108" s="54">
        <f t="shared" si="35"/>
        <v>31.075675675675779</v>
      </c>
      <c r="H108" s="54">
        <f t="shared" si="36"/>
        <v>5.3999999999999968</v>
      </c>
      <c r="I108" s="54">
        <f t="shared" si="37"/>
        <v>5.3999999999999968</v>
      </c>
      <c r="J108" s="54">
        <f t="shared" si="38"/>
        <v>5.3999999999999968</v>
      </c>
      <c r="K108" s="54">
        <f t="shared" si="39"/>
        <v>5.3999999999999968</v>
      </c>
      <c r="L108" s="54">
        <f t="shared" si="40"/>
        <v>5.3999999999999968</v>
      </c>
      <c r="M108" s="54">
        <f t="shared" si="41"/>
        <v>18.12084805653712</v>
      </c>
      <c r="N108" s="54">
        <f t="shared" si="42"/>
        <v>5.3999999999999968</v>
      </c>
      <c r="O108" s="54">
        <f t="shared" si="43"/>
        <v>5.3999999999999968</v>
      </c>
      <c r="P108" s="54">
        <f t="shared" si="44"/>
        <v>18.200000000000021</v>
      </c>
      <c r="Q108" s="54">
        <f t="shared" si="45"/>
        <v>5.3999999999999968</v>
      </c>
      <c r="R108" s="54">
        <f t="shared" si="46"/>
        <v>15.15609756097559</v>
      </c>
      <c r="S108" s="54">
        <f t="shared" si="47"/>
        <v>5.3999999999999968</v>
      </c>
      <c r="T108" s="54">
        <f t="shared" si="48"/>
        <v>5.3999999999999968</v>
      </c>
      <c r="U108" s="54">
        <f t="shared" si="49"/>
        <v>5.3999999999999968</v>
      </c>
      <c r="V108" s="54">
        <f t="shared" si="50"/>
        <v>5.3999999999999968</v>
      </c>
      <c r="W108" s="54">
        <f t="shared" si="51"/>
        <v>5.3999999999999968</v>
      </c>
      <c r="X108" s="54">
        <f t="shared" si="52"/>
        <v>5.3999999999999968</v>
      </c>
      <c r="Y108" s="54">
        <f t="shared" si="53"/>
        <v>16.646943765281193</v>
      </c>
      <c r="Z108" s="54">
        <f t="shared" si="54"/>
        <v>5.3999999999999968</v>
      </c>
      <c r="AA108" s="54">
        <f t="shared" si="55"/>
        <v>18.145098039215718</v>
      </c>
      <c r="AB108" s="54">
        <f t="shared" si="56"/>
        <v>15.15609756097559</v>
      </c>
      <c r="AC108" s="54">
        <f t="shared" si="57"/>
        <v>5.3999999999999968</v>
      </c>
      <c r="AD108" s="54">
        <f t="shared" si="58"/>
        <v>17.190878754171301</v>
      </c>
      <c r="AF108" s="54"/>
      <c r="AG108" s="54"/>
      <c r="AI108" s="54">
        <f t="shared" si="59"/>
        <v>5.3999999999999968</v>
      </c>
      <c r="AJ108" s="54">
        <f t="shared" si="60"/>
        <v>104</v>
      </c>
    </row>
    <row r="109" spans="2:36" hidden="1" x14ac:dyDescent="0.25">
      <c r="B109" s="51"/>
      <c r="C109" s="55"/>
      <c r="D109" s="58"/>
      <c r="E109" s="54">
        <v>105</v>
      </c>
      <c r="F109" s="54">
        <f t="shared" si="34"/>
        <v>13.559701492537291</v>
      </c>
      <c r="G109" s="54">
        <f t="shared" si="35"/>
        <v>31.17567567567578</v>
      </c>
      <c r="H109" s="54">
        <f t="shared" si="36"/>
        <v>5.4999999999999964</v>
      </c>
      <c r="I109" s="54">
        <f t="shared" si="37"/>
        <v>5.4999999999999964</v>
      </c>
      <c r="J109" s="54">
        <f t="shared" si="38"/>
        <v>5.4999999999999964</v>
      </c>
      <c r="K109" s="54">
        <f t="shared" si="39"/>
        <v>5.4999999999999964</v>
      </c>
      <c r="L109" s="54">
        <f t="shared" si="40"/>
        <v>5.4999999999999964</v>
      </c>
      <c r="M109" s="54">
        <f t="shared" si="41"/>
        <v>18.220848056537122</v>
      </c>
      <c r="N109" s="54">
        <f t="shared" si="42"/>
        <v>5.4999999999999964</v>
      </c>
      <c r="O109" s="54">
        <f t="shared" si="43"/>
        <v>5.4999999999999964</v>
      </c>
      <c r="P109" s="54">
        <f t="shared" si="44"/>
        <v>18.300000000000022</v>
      </c>
      <c r="Q109" s="54">
        <f t="shared" si="45"/>
        <v>5.4999999999999964</v>
      </c>
      <c r="R109" s="54">
        <f t="shared" si="46"/>
        <v>15.25609756097559</v>
      </c>
      <c r="S109" s="54">
        <f t="shared" si="47"/>
        <v>5.4999999999999964</v>
      </c>
      <c r="T109" s="54">
        <f t="shared" si="48"/>
        <v>5.4999999999999964</v>
      </c>
      <c r="U109" s="54">
        <f t="shared" si="49"/>
        <v>5.4999999999999964</v>
      </c>
      <c r="V109" s="54">
        <f t="shared" si="50"/>
        <v>5.4999999999999964</v>
      </c>
      <c r="W109" s="54">
        <f t="shared" si="51"/>
        <v>5.4999999999999964</v>
      </c>
      <c r="X109" s="54">
        <f t="shared" si="52"/>
        <v>5.4999999999999964</v>
      </c>
      <c r="Y109" s="54">
        <f t="shared" si="53"/>
        <v>16.746943765281195</v>
      </c>
      <c r="Z109" s="54">
        <f t="shared" si="54"/>
        <v>5.4999999999999964</v>
      </c>
      <c r="AA109" s="54">
        <f t="shared" si="55"/>
        <v>18.245098039215719</v>
      </c>
      <c r="AB109" s="54">
        <f t="shared" si="56"/>
        <v>15.25609756097559</v>
      </c>
      <c r="AC109" s="54">
        <f t="shared" si="57"/>
        <v>5.4999999999999964</v>
      </c>
      <c r="AD109" s="54">
        <f t="shared" si="58"/>
        <v>17.290878754171302</v>
      </c>
      <c r="AF109" s="54"/>
      <c r="AG109" s="54"/>
      <c r="AI109" s="54">
        <f t="shared" si="59"/>
        <v>5.4999999999999964</v>
      </c>
      <c r="AJ109" s="54">
        <f t="shared" si="60"/>
        <v>105</v>
      </c>
    </row>
    <row r="110" spans="2:36" hidden="1" x14ac:dyDescent="0.25">
      <c r="B110" s="51"/>
      <c r="C110" s="55"/>
      <c r="D110" s="58"/>
      <c r="E110" s="54">
        <v>106</v>
      </c>
      <c r="F110" s="54">
        <f t="shared" si="34"/>
        <v>13.659701492537291</v>
      </c>
      <c r="G110" s="54">
        <f t="shared" si="35"/>
        <v>31.275675675675782</v>
      </c>
      <c r="H110" s="54">
        <f t="shared" si="36"/>
        <v>5.5999999999999961</v>
      </c>
      <c r="I110" s="54">
        <f t="shared" si="37"/>
        <v>5.5999999999999961</v>
      </c>
      <c r="J110" s="54">
        <f t="shared" si="38"/>
        <v>5.5999999999999961</v>
      </c>
      <c r="K110" s="54">
        <f t="shared" si="39"/>
        <v>5.5999999999999961</v>
      </c>
      <c r="L110" s="54">
        <f t="shared" si="40"/>
        <v>5.5999999999999961</v>
      </c>
      <c r="M110" s="54">
        <f t="shared" si="41"/>
        <v>18.320848056537123</v>
      </c>
      <c r="N110" s="54">
        <f t="shared" si="42"/>
        <v>5.5999999999999961</v>
      </c>
      <c r="O110" s="54">
        <f t="shared" si="43"/>
        <v>5.5999999999999961</v>
      </c>
      <c r="P110" s="54">
        <f t="shared" si="44"/>
        <v>18.400000000000023</v>
      </c>
      <c r="Q110" s="54">
        <f t="shared" si="45"/>
        <v>5.5999999999999961</v>
      </c>
      <c r="R110" s="54">
        <f t="shared" si="46"/>
        <v>15.35609756097559</v>
      </c>
      <c r="S110" s="54">
        <f t="shared" si="47"/>
        <v>5.5999999999999961</v>
      </c>
      <c r="T110" s="54">
        <f t="shared" si="48"/>
        <v>5.5999999999999961</v>
      </c>
      <c r="U110" s="54">
        <f t="shared" si="49"/>
        <v>5.5999999999999961</v>
      </c>
      <c r="V110" s="54">
        <f t="shared" si="50"/>
        <v>5.5999999999999961</v>
      </c>
      <c r="W110" s="54">
        <f t="shared" si="51"/>
        <v>5.5999999999999961</v>
      </c>
      <c r="X110" s="54">
        <f t="shared" si="52"/>
        <v>5.5999999999999961</v>
      </c>
      <c r="Y110" s="54">
        <f t="shared" si="53"/>
        <v>16.846943765281196</v>
      </c>
      <c r="Z110" s="54">
        <f t="shared" si="54"/>
        <v>5.5999999999999961</v>
      </c>
      <c r="AA110" s="54">
        <f t="shared" si="55"/>
        <v>18.345098039215721</v>
      </c>
      <c r="AB110" s="54">
        <f t="shared" si="56"/>
        <v>15.35609756097559</v>
      </c>
      <c r="AC110" s="54">
        <f t="shared" si="57"/>
        <v>5.5999999999999961</v>
      </c>
      <c r="AD110" s="54">
        <f t="shared" si="58"/>
        <v>17.390878754171304</v>
      </c>
      <c r="AF110" s="54"/>
      <c r="AG110" s="54"/>
      <c r="AI110" s="54">
        <f t="shared" si="59"/>
        <v>5.5999999999999961</v>
      </c>
      <c r="AJ110" s="54">
        <f t="shared" si="60"/>
        <v>106</v>
      </c>
    </row>
    <row r="111" spans="2:36" hidden="1" x14ac:dyDescent="0.25">
      <c r="B111" s="51"/>
      <c r="C111" s="55"/>
      <c r="D111" s="58"/>
      <c r="E111" s="54">
        <v>107</v>
      </c>
      <c r="F111" s="54">
        <f t="shared" si="34"/>
        <v>13.759701492537291</v>
      </c>
      <c r="G111" s="54">
        <f t="shared" si="35"/>
        <v>31.375675675675783</v>
      </c>
      <c r="H111" s="54">
        <f t="shared" si="36"/>
        <v>5.6999999999999957</v>
      </c>
      <c r="I111" s="54">
        <f t="shared" si="37"/>
        <v>5.6999999999999957</v>
      </c>
      <c r="J111" s="54">
        <f t="shared" si="38"/>
        <v>5.6999999999999957</v>
      </c>
      <c r="K111" s="54">
        <f t="shared" si="39"/>
        <v>5.6999999999999957</v>
      </c>
      <c r="L111" s="54">
        <f t="shared" si="40"/>
        <v>5.6999999999999957</v>
      </c>
      <c r="M111" s="54">
        <f t="shared" si="41"/>
        <v>18.420848056537125</v>
      </c>
      <c r="N111" s="54">
        <f t="shared" si="42"/>
        <v>5.6999999999999957</v>
      </c>
      <c r="O111" s="54">
        <f t="shared" si="43"/>
        <v>5.6999999999999957</v>
      </c>
      <c r="P111" s="54">
        <f t="shared" si="44"/>
        <v>18.500000000000025</v>
      </c>
      <c r="Q111" s="54">
        <f t="shared" si="45"/>
        <v>5.6999999999999957</v>
      </c>
      <c r="R111" s="54">
        <f t="shared" si="46"/>
        <v>15.456097560975589</v>
      </c>
      <c r="S111" s="54">
        <f t="shared" si="47"/>
        <v>5.6999999999999957</v>
      </c>
      <c r="T111" s="54">
        <f t="shared" si="48"/>
        <v>5.6999999999999957</v>
      </c>
      <c r="U111" s="54">
        <f t="shared" si="49"/>
        <v>5.6999999999999957</v>
      </c>
      <c r="V111" s="54">
        <f t="shared" si="50"/>
        <v>5.6999999999999957</v>
      </c>
      <c r="W111" s="54">
        <f t="shared" si="51"/>
        <v>5.6999999999999957</v>
      </c>
      <c r="X111" s="54">
        <f t="shared" si="52"/>
        <v>5.6999999999999957</v>
      </c>
      <c r="Y111" s="54">
        <f t="shared" si="53"/>
        <v>16.946943765281198</v>
      </c>
      <c r="Z111" s="54">
        <f t="shared" si="54"/>
        <v>5.6999999999999957</v>
      </c>
      <c r="AA111" s="54">
        <f t="shared" si="55"/>
        <v>18.445098039215722</v>
      </c>
      <c r="AB111" s="54">
        <f t="shared" si="56"/>
        <v>15.456097560975589</v>
      </c>
      <c r="AC111" s="54">
        <f t="shared" si="57"/>
        <v>5.6999999999999957</v>
      </c>
      <c r="AD111" s="54">
        <f t="shared" si="58"/>
        <v>17.490878754171305</v>
      </c>
      <c r="AF111" s="54"/>
      <c r="AG111" s="54"/>
      <c r="AI111" s="54">
        <f t="shared" si="59"/>
        <v>5.6999999999999957</v>
      </c>
      <c r="AJ111" s="54">
        <f t="shared" si="60"/>
        <v>107</v>
      </c>
    </row>
    <row r="112" spans="2:36" hidden="1" x14ac:dyDescent="0.25">
      <c r="B112" s="51"/>
      <c r="C112" s="55"/>
      <c r="D112" s="58"/>
      <c r="E112" s="54">
        <v>108</v>
      </c>
      <c r="F112" s="54">
        <f t="shared" si="34"/>
        <v>13.85970149253729</v>
      </c>
      <c r="G112" s="54">
        <f t="shared" si="35"/>
        <v>31.475675675675785</v>
      </c>
      <c r="H112" s="54">
        <f t="shared" si="36"/>
        <v>5.7999999999999954</v>
      </c>
      <c r="I112" s="54">
        <f t="shared" si="37"/>
        <v>5.7999999999999954</v>
      </c>
      <c r="J112" s="54">
        <f t="shared" si="38"/>
        <v>5.7999999999999954</v>
      </c>
      <c r="K112" s="54">
        <f t="shared" si="39"/>
        <v>5.7999999999999954</v>
      </c>
      <c r="L112" s="54">
        <f t="shared" si="40"/>
        <v>5.7999999999999954</v>
      </c>
      <c r="M112" s="54">
        <f t="shared" si="41"/>
        <v>18.520848056537126</v>
      </c>
      <c r="N112" s="54">
        <f t="shared" si="42"/>
        <v>5.7999999999999954</v>
      </c>
      <c r="O112" s="54">
        <f t="shared" si="43"/>
        <v>5.7999999999999954</v>
      </c>
      <c r="P112" s="54">
        <f t="shared" si="44"/>
        <v>18.600000000000026</v>
      </c>
      <c r="Q112" s="54">
        <f t="shared" si="45"/>
        <v>5.7999999999999954</v>
      </c>
      <c r="R112" s="54">
        <f t="shared" si="46"/>
        <v>15.556097560975589</v>
      </c>
      <c r="S112" s="54">
        <f t="shared" si="47"/>
        <v>5.7999999999999954</v>
      </c>
      <c r="T112" s="54">
        <f t="shared" si="48"/>
        <v>5.7999999999999954</v>
      </c>
      <c r="U112" s="54">
        <f t="shared" si="49"/>
        <v>5.7999999999999954</v>
      </c>
      <c r="V112" s="54">
        <f t="shared" si="50"/>
        <v>5.7999999999999954</v>
      </c>
      <c r="W112" s="54">
        <f t="shared" si="51"/>
        <v>5.7999999999999954</v>
      </c>
      <c r="X112" s="54">
        <f t="shared" si="52"/>
        <v>5.7999999999999954</v>
      </c>
      <c r="Y112" s="54">
        <f t="shared" si="53"/>
        <v>17.046943765281199</v>
      </c>
      <c r="Z112" s="54">
        <f t="shared" si="54"/>
        <v>5.7999999999999954</v>
      </c>
      <c r="AA112" s="54">
        <f t="shared" si="55"/>
        <v>18.545098039215723</v>
      </c>
      <c r="AB112" s="54">
        <f t="shared" si="56"/>
        <v>15.556097560975589</v>
      </c>
      <c r="AC112" s="54">
        <f t="shared" si="57"/>
        <v>5.7999999999999954</v>
      </c>
      <c r="AD112" s="54">
        <f t="shared" si="58"/>
        <v>17.590878754171307</v>
      </c>
      <c r="AF112" s="54"/>
      <c r="AG112" s="54"/>
      <c r="AI112" s="54">
        <f t="shared" si="59"/>
        <v>5.7999999999999954</v>
      </c>
      <c r="AJ112" s="54">
        <f t="shared" si="60"/>
        <v>108</v>
      </c>
    </row>
    <row r="113" spans="2:36" hidden="1" x14ac:dyDescent="0.25">
      <c r="B113" s="51"/>
      <c r="C113" s="55"/>
      <c r="D113" s="58"/>
      <c r="E113" s="54">
        <v>109</v>
      </c>
      <c r="F113" s="54">
        <f t="shared" si="34"/>
        <v>13.95970149253729</v>
      </c>
      <c r="G113" s="54">
        <f t="shared" si="35"/>
        <v>31.575675675675786</v>
      </c>
      <c r="H113" s="54">
        <f t="shared" si="36"/>
        <v>5.899999999999995</v>
      </c>
      <c r="I113" s="54">
        <f t="shared" si="37"/>
        <v>5.899999999999995</v>
      </c>
      <c r="J113" s="54">
        <f t="shared" si="38"/>
        <v>5.899999999999995</v>
      </c>
      <c r="K113" s="54">
        <f t="shared" si="39"/>
        <v>5.899999999999995</v>
      </c>
      <c r="L113" s="54">
        <f t="shared" si="40"/>
        <v>5.899999999999995</v>
      </c>
      <c r="M113" s="54">
        <f t="shared" si="41"/>
        <v>18.620848056537127</v>
      </c>
      <c r="N113" s="54">
        <f t="shared" si="42"/>
        <v>5.899999999999995</v>
      </c>
      <c r="O113" s="54">
        <f t="shared" si="43"/>
        <v>5.899999999999995</v>
      </c>
      <c r="P113" s="54">
        <f t="shared" si="44"/>
        <v>18.700000000000028</v>
      </c>
      <c r="Q113" s="54">
        <f t="shared" si="45"/>
        <v>5.899999999999995</v>
      </c>
      <c r="R113" s="54">
        <f t="shared" si="46"/>
        <v>15.656097560975589</v>
      </c>
      <c r="S113" s="54">
        <f t="shared" si="47"/>
        <v>5.899999999999995</v>
      </c>
      <c r="T113" s="54">
        <f t="shared" si="48"/>
        <v>5.899999999999995</v>
      </c>
      <c r="U113" s="54">
        <f t="shared" si="49"/>
        <v>5.899999999999995</v>
      </c>
      <c r="V113" s="54">
        <f t="shared" si="50"/>
        <v>5.899999999999995</v>
      </c>
      <c r="W113" s="54">
        <f t="shared" si="51"/>
        <v>5.899999999999995</v>
      </c>
      <c r="X113" s="54">
        <f t="shared" si="52"/>
        <v>5.899999999999995</v>
      </c>
      <c r="Y113" s="54">
        <f t="shared" si="53"/>
        <v>17.1469437652812</v>
      </c>
      <c r="Z113" s="54">
        <f t="shared" si="54"/>
        <v>5.899999999999995</v>
      </c>
      <c r="AA113" s="54">
        <f t="shared" si="55"/>
        <v>18.645098039215725</v>
      </c>
      <c r="AB113" s="54">
        <f t="shared" si="56"/>
        <v>15.656097560975589</v>
      </c>
      <c r="AC113" s="54">
        <f t="shared" si="57"/>
        <v>5.899999999999995</v>
      </c>
      <c r="AD113" s="54">
        <f t="shared" si="58"/>
        <v>17.690878754171308</v>
      </c>
      <c r="AF113" s="54"/>
      <c r="AG113" s="54"/>
      <c r="AI113" s="54">
        <f t="shared" si="59"/>
        <v>5.899999999999995</v>
      </c>
      <c r="AJ113" s="54">
        <f t="shared" si="60"/>
        <v>109</v>
      </c>
    </row>
    <row r="114" spans="2:36" hidden="1" x14ac:dyDescent="0.25">
      <c r="B114" s="51"/>
      <c r="C114" s="55"/>
      <c r="D114" s="58"/>
      <c r="E114" s="54">
        <v>110</v>
      </c>
      <c r="F114" s="54">
        <f t="shared" si="34"/>
        <v>14.05970149253729</v>
      </c>
      <c r="G114" s="54">
        <f t="shared" si="35"/>
        <v>31.675675675675787</v>
      </c>
      <c r="H114" s="54">
        <f t="shared" si="36"/>
        <v>5.9999999999999947</v>
      </c>
      <c r="I114" s="54">
        <f t="shared" si="37"/>
        <v>5.9999999999999947</v>
      </c>
      <c r="J114" s="54">
        <f t="shared" si="38"/>
        <v>5.9999999999999947</v>
      </c>
      <c r="K114" s="54">
        <f t="shared" si="39"/>
        <v>5.9999999999999947</v>
      </c>
      <c r="L114" s="54">
        <f t="shared" si="40"/>
        <v>5.9999999999999947</v>
      </c>
      <c r="M114" s="54">
        <f t="shared" si="41"/>
        <v>18.720848056537129</v>
      </c>
      <c r="N114" s="54">
        <f t="shared" si="42"/>
        <v>5.9999999999999947</v>
      </c>
      <c r="O114" s="54">
        <f t="shared" si="43"/>
        <v>5.9999999999999947</v>
      </c>
      <c r="P114" s="54">
        <f t="shared" si="44"/>
        <v>18.800000000000029</v>
      </c>
      <c r="Q114" s="54">
        <f t="shared" si="45"/>
        <v>5.9999999999999947</v>
      </c>
      <c r="R114" s="54">
        <f t="shared" si="46"/>
        <v>15.756097560975588</v>
      </c>
      <c r="S114" s="54">
        <f t="shared" si="47"/>
        <v>5.9999999999999947</v>
      </c>
      <c r="T114" s="54">
        <f t="shared" si="48"/>
        <v>5.9999999999999947</v>
      </c>
      <c r="U114" s="54">
        <f t="shared" si="49"/>
        <v>5.9999999999999947</v>
      </c>
      <c r="V114" s="54">
        <f t="shared" si="50"/>
        <v>5.9999999999999947</v>
      </c>
      <c r="W114" s="54">
        <f t="shared" si="51"/>
        <v>5.9999999999999947</v>
      </c>
      <c r="X114" s="54">
        <f t="shared" si="52"/>
        <v>5.9999999999999947</v>
      </c>
      <c r="Y114" s="54">
        <f t="shared" si="53"/>
        <v>17.246943765281202</v>
      </c>
      <c r="Z114" s="54">
        <f t="shared" si="54"/>
        <v>5.9999999999999947</v>
      </c>
      <c r="AA114" s="54">
        <f t="shared" si="55"/>
        <v>18.745098039215726</v>
      </c>
      <c r="AB114" s="54">
        <f t="shared" si="56"/>
        <v>15.756097560975588</v>
      </c>
      <c r="AC114" s="54">
        <f t="shared" si="57"/>
        <v>5.9999999999999947</v>
      </c>
      <c r="AD114" s="54">
        <f t="shared" si="58"/>
        <v>17.79087875417131</v>
      </c>
      <c r="AF114" s="54"/>
      <c r="AG114" s="54"/>
      <c r="AI114" s="54">
        <f t="shared" si="59"/>
        <v>5.9999999999999947</v>
      </c>
      <c r="AJ114" s="54">
        <f t="shared" si="60"/>
        <v>110</v>
      </c>
    </row>
    <row r="115" spans="2:36" hidden="1" x14ac:dyDescent="0.25">
      <c r="B115" s="51"/>
      <c r="C115" s="52"/>
      <c r="D115" s="52"/>
      <c r="E115" s="54">
        <v>111</v>
      </c>
      <c r="F115" s="54">
        <f t="shared" si="34"/>
        <v>14.159701492537289</v>
      </c>
      <c r="G115" s="54">
        <f t="shared" si="35"/>
        <v>31.775675675675789</v>
      </c>
      <c r="H115" s="54">
        <f t="shared" si="36"/>
        <v>6.0999999999999943</v>
      </c>
      <c r="I115" s="54">
        <f t="shared" si="37"/>
        <v>6.0999999999999943</v>
      </c>
      <c r="J115" s="54">
        <f t="shared" si="38"/>
        <v>6.0999999999999943</v>
      </c>
      <c r="K115" s="54">
        <f t="shared" si="39"/>
        <v>6.0999999999999943</v>
      </c>
      <c r="L115" s="54">
        <f t="shared" si="40"/>
        <v>6.0999999999999943</v>
      </c>
      <c r="M115" s="54">
        <f t="shared" si="41"/>
        <v>18.82084805653713</v>
      </c>
      <c r="N115" s="54">
        <f t="shared" si="42"/>
        <v>6.0999999999999943</v>
      </c>
      <c r="O115" s="54">
        <f t="shared" si="43"/>
        <v>6.0999999999999943</v>
      </c>
      <c r="P115" s="54">
        <f t="shared" si="44"/>
        <v>18.900000000000031</v>
      </c>
      <c r="Q115" s="54">
        <f t="shared" si="45"/>
        <v>6.0999999999999943</v>
      </c>
      <c r="R115" s="54">
        <f t="shared" si="46"/>
        <v>15.856097560975588</v>
      </c>
      <c r="S115" s="54">
        <f t="shared" si="47"/>
        <v>6.0999999999999943</v>
      </c>
      <c r="T115" s="54">
        <f t="shared" si="48"/>
        <v>6.0999999999999943</v>
      </c>
      <c r="U115" s="54">
        <f t="shared" si="49"/>
        <v>6.0999999999999943</v>
      </c>
      <c r="V115" s="54">
        <f t="shared" si="50"/>
        <v>6.0999999999999943</v>
      </c>
      <c r="W115" s="54">
        <f t="shared" si="51"/>
        <v>6.0999999999999943</v>
      </c>
      <c r="X115" s="54">
        <f t="shared" si="52"/>
        <v>6.0999999999999943</v>
      </c>
      <c r="Y115" s="54">
        <f t="shared" si="53"/>
        <v>17.346943765281203</v>
      </c>
      <c r="Z115" s="54">
        <f t="shared" si="54"/>
        <v>6.0999999999999943</v>
      </c>
      <c r="AA115" s="54">
        <f t="shared" si="55"/>
        <v>18.845098039215728</v>
      </c>
      <c r="AB115" s="54">
        <f t="shared" si="56"/>
        <v>15.856097560975588</v>
      </c>
      <c r="AC115" s="54">
        <f t="shared" si="57"/>
        <v>6.0999999999999943</v>
      </c>
      <c r="AD115" s="54">
        <f t="shared" si="58"/>
        <v>17.890878754171311</v>
      </c>
      <c r="AF115" s="54"/>
      <c r="AG115" s="54"/>
      <c r="AI115" s="54">
        <f t="shared" si="59"/>
        <v>6.0999999999999943</v>
      </c>
      <c r="AJ115" s="54">
        <f t="shared" si="60"/>
        <v>111</v>
      </c>
    </row>
    <row r="116" spans="2:36" hidden="1" x14ac:dyDescent="0.25">
      <c r="B116" s="51"/>
      <c r="C116" s="53"/>
      <c r="D116" s="53"/>
      <c r="E116" s="54">
        <v>112</v>
      </c>
      <c r="F116" s="54">
        <f t="shared" si="34"/>
        <v>14.259701492537289</v>
      </c>
      <c r="G116" s="54">
        <f t="shared" si="35"/>
        <v>31.87567567567579</v>
      </c>
      <c r="H116" s="54">
        <f t="shared" si="36"/>
        <v>6.199999999999994</v>
      </c>
      <c r="I116" s="54">
        <f t="shared" si="37"/>
        <v>6.199999999999994</v>
      </c>
      <c r="J116" s="54">
        <f t="shared" si="38"/>
        <v>6.199999999999994</v>
      </c>
      <c r="K116" s="54">
        <f t="shared" si="39"/>
        <v>6.199999999999994</v>
      </c>
      <c r="L116" s="54">
        <f t="shared" si="40"/>
        <v>6.199999999999994</v>
      </c>
      <c r="M116" s="54">
        <f t="shared" si="41"/>
        <v>18.920848056537132</v>
      </c>
      <c r="N116" s="54">
        <f t="shared" si="42"/>
        <v>6.199999999999994</v>
      </c>
      <c r="O116" s="54">
        <f t="shared" si="43"/>
        <v>6.199999999999994</v>
      </c>
      <c r="P116" s="54">
        <f t="shared" si="44"/>
        <v>19.000000000000032</v>
      </c>
      <c r="Q116" s="54">
        <f t="shared" si="45"/>
        <v>6.199999999999994</v>
      </c>
      <c r="R116" s="54">
        <f t="shared" si="46"/>
        <v>15.956097560975588</v>
      </c>
      <c r="S116" s="54">
        <f t="shared" si="47"/>
        <v>6.199999999999994</v>
      </c>
      <c r="T116" s="54">
        <f t="shared" si="48"/>
        <v>6.199999999999994</v>
      </c>
      <c r="U116" s="54">
        <f t="shared" si="49"/>
        <v>6.199999999999994</v>
      </c>
      <c r="V116" s="54">
        <f t="shared" si="50"/>
        <v>6.199999999999994</v>
      </c>
      <c r="W116" s="54">
        <f t="shared" si="51"/>
        <v>6.199999999999994</v>
      </c>
      <c r="X116" s="54">
        <f t="shared" si="52"/>
        <v>6.199999999999994</v>
      </c>
      <c r="Y116" s="54">
        <f t="shared" si="53"/>
        <v>17.446943765281205</v>
      </c>
      <c r="Z116" s="54">
        <f t="shared" si="54"/>
        <v>6.199999999999994</v>
      </c>
      <c r="AA116" s="54">
        <f t="shared" si="55"/>
        <v>18.945098039215729</v>
      </c>
      <c r="AB116" s="54">
        <f t="shared" si="56"/>
        <v>15.956097560975588</v>
      </c>
      <c r="AC116" s="54">
        <f t="shared" si="57"/>
        <v>6.199999999999994</v>
      </c>
      <c r="AD116" s="54">
        <f t="shared" si="58"/>
        <v>17.990878754171312</v>
      </c>
      <c r="AF116" s="54"/>
      <c r="AG116" s="54"/>
      <c r="AI116" s="54">
        <f t="shared" si="59"/>
        <v>6.199999999999994</v>
      </c>
      <c r="AJ116" s="54">
        <f t="shared" si="60"/>
        <v>112</v>
      </c>
    </row>
    <row r="117" spans="2:36" hidden="1" x14ac:dyDescent="0.25">
      <c r="B117" s="51"/>
      <c r="C117" s="55"/>
      <c r="D117" s="55"/>
      <c r="E117" s="54">
        <v>113</v>
      </c>
      <c r="F117" s="54">
        <f t="shared" si="34"/>
        <v>14.359701492537289</v>
      </c>
      <c r="G117" s="54">
        <f t="shared" si="35"/>
        <v>31.975675675675792</v>
      </c>
      <c r="H117" s="54">
        <f t="shared" si="36"/>
        <v>6.2999999999999936</v>
      </c>
      <c r="I117" s="54">
        <f t="shared" si="37"/>
        <v>6.2999999999999936</v>
      </c>
      <c r="J117" s="54">
        <f t="shared" si="38"/>
        <v>6.2999999999999936</v>
      </c>
      <c r="K117" s="54">
        <f t="shared" si="39"/>
        <v>6.2999999999999936</v>
      </c>
      <c r="L117" s="54">
        <f t="shared" si="40"/>
        <v>6.2999999999999936</v>
      </c>
      <c r="M117" s="54">
        <f t="shared" si="41"/>
        <v>19.020848056537133</v>
      </c>
      <c r="N117" s="54">
        <f t="shared" si="42"/>
        <v>6.2999999999999936</v>
      </c>
      <c r="O117" s="54">
        <f t="shared" si="43"/>
        <v>6.2999999999999936</v>
      </c>
      <c r="P117" s="54">
        <f t="shared" si="44"/>
        <v>19.100000000000033</v>
      </c>
      <c r="Q117" s="54">
        <f t="shared" si="45"/>
        <v>6.2999999999999936</v>
      </c>
      <c r="R117" s="54">
        <f t="shared" si="46"/>
        <v>16.056097560975587</v>
      </c>
      <c r="S117" s="54">
        <f t="shared" si="47"/>
        <v>6.2999999999999936</v>
      </c>
      <c r="T117" s="54">
        <f t="shared" si="48"/>
        <v>6.2999999999999936</v>
      </c>
      <c r="U117" s="54">
        <f t="shared" si="49"/>
        <v>6.2999999999999936</v>
      </c>
      <c r="V117" s="54">
        <f t="shared" si="50"/>
        <v>6.2999999999999936</v>
      </c>
      <c r="W117" s="54">
        <f t="shared" si="51"/>
        <v>6.2999999999999936</v>
      </c>
      <c r="X117" s="54">
        <f t="shared" si="52"/>
        <v>6.2999999999999936</v>
      </c>
      <c r="Y117" s="54">
        <f t="shared" si="53"/>
        <v>17.546943765281206</v>
      </c>
      <c r="Z117" s="54">
        <f t="shared" si="54"/>
        <v>6.2999999999999936</v>
      </c>
      <c r="AA117" s="54">
        <f t="shared" si="55"/>
        <v>19.045098039215731</v>
      </c>
      <c r="AB117" s="54">
        <f t="shared" si="56"/>
        <v>16.056097560975587</v>
      </c>
      <c r="AC117" s="54">
        <f t="shared" si="57"/>
        <v>6.2999999999999936</v>
      </c>
      <c r="AD117" s="54">
        <f t="shared" si="58"/>
        <v>18.090878754171314</v>
      </c>
      <c r="AF117" s="54"/>
      <c r="AG117" s="54"/>
      <c r="AI117" s="54">
        <f t="shared" si="59"/>
        <v>6.2999999999999936</v>
      </c>
      <c r="AJ117" s="54">
        <f t="shared" si="60"/>
        <v>113</v>
      </c>
    </row>
    <row r="118" spans="2:36" hidden="1" x14ac:dyDescent="0.25">
      <c r="B118" s="51"/>
      <c r="C118" s="55"/>
      <c r="D118" s="55"/>
      <c r="E118" s="54">
        <v>114</v>
      </c>
      <c r="F118" s="54">
        <f t="shared" si="34"/>
        <v>14.459701492537288</v>
      </c>
      <c r="G118" s="54">
        <f t="shared" si="35"/>
        <v>32.075675675675789</v>
      </c>
      <c r="H118" s="54">
        <f t="shared" si="36"/>
        <v>6.3999999999999932</v>
      </c>
      <c r="I118" s="54">
        <f t="shared" si="37"/>
        <v>6.3999999999999932</v>
      </c>
      <c r="J118" s="54">
        <f t="shared" si="38"/>
        <v>6.3999999999999932</v>
      </c>
      <c r="K118" s="54">
        <f t="shared" si="39"/>
        <v>6.3999999999999932</v>
      </c>
      <c r="L118" s="54">
        <f t="shared" si="40"/>
        <v>6.3999999999999932</v>
      </c>
      <c r="M118" s="54">
        <f t="shared" si="41"/>
        <v>19.120848056537135</v>
      </c>
      <c r="N118" s="54">
        <f t="shared" si="42"/>
        <v>6.3999999999999932</v>
      </c>
      <c r="O118" s="54">
        <f t="shared" si="43"/>
        <v>6.3999999999999932</v>
      </c>
      <c r="P118" s="54">
        <f t="shared" si="44"/>
        <v>19.200000000000035</v>
      </c>
      <c r="Q118" s="54">
        <f t="shared" si="45"/>
        <v>6.3999999999999932</v>
      </c>
      <c r="R118" s="54">
        <f t="shared" si="46"/>
        <v>16.156097560975589</v>
      </c>
      <c r="S118" s="54">
        <f t="shared" si="47"/>
        <v>6.3999999999999932</v>
      </c>
      <c r="T118" s="54">
        <f t="shared" si="48"/>
        <v>6.3999999999999932</v>
      </c>
      <c r="U118" s="54">
        <f t="shared" si="49"/>
        <v>6.3999999999999932</v>
      </c>
      <c r="V118" s="54">
        <f t="shared" si="50"/>
        <v>6.3999999999999932</v>
      </c>
      <c r="W118" s="54">
        <f t="shared" si="51"/>
        <v>6.3999999999999932</v>
      </c>
      <c r="X118" s="54">
        <f t="shared" si="52"/>
        <v>6.3999999999999932</v>
      </c>
      <c r="Y118" s="54">
        <f t="shared" si="53"/>
        <v>17.646943765281208</v>
      </c>
      <c r="Z118" s="54">
        <f t="shared" si="54"/>
        <v>6.3999999999999932</v>
      </c>
      <c r="AA118" s="54">
        <f t="shared" si="55"/>
        <v>19.145098039215732</v>
      </c>
      <c r="AB118" s="54">
        <f t="shared" si="56"/>
        <v>16.156097560975589</v>
      </c>
      <c r="AC118" s="54">
        <f t="shared" si="57"/>
        <v>6.3999999999999932</v>
      </c>
      <c r="AD118" s="54">
        <f t="shared" si="58"/>
        <v>18.190878754171315</v>
      </c>
      <c r="AF118" s="54"/>
      <c r="AG118" s="54"/>
      <c r="AI118" s="54">
        <f t="shared" si="59"/>
        <v>6.3999999999999932</v>
      </c>
      <c r="AJ118" s="54">
        <f t="shared" si="60"/>
        <v>114</v>
      </c>
    </row>
    <row r="119" spans="2:36" hidden="1" x14ac:dyDescent="0.25">
      <c r="B119" s="51"/>
      <c r="C119" s="55"/>
      <c r="D119" s="55"/>
      <c r="E119" s="54">
        <v>115</v>
      </c>
      <c r="F119" s="54">
        <f t="shared" si="34"/>
        <v>14.559701492537288</v>
      </c>
      <c r="G119" s="54">
        <f t="shared" si="35"/>
        <v>32.175675675675791</v>
      </c>
      <c r="H119" s="54">
        <f t="shared" si="36"/>
        <v>6.4999999999999929</v>
      </c>
      <c r="I119" s="54">
        <f t="shared" si="37"/>
        <v>6.4999999999999929</v>
      </c>
      <c r="J119" s="54">
        <f t="shared" si="38"/>
        <v>6.4999999999999929</v>
      </c>
      <c r="K119" s="54">
        <f t="shared" si="39"/>
        <v>6.4999999999999929</v>
      </c>
      <c r="L119" s="54">
        <f t="shared" si="40"/>
        <v>6.4999999999999929</v>
      </c>
      <c r="M119" s="54">
        <f t="shared" si="41"/>
        <v>19.220848056537136</v>
      </c>
      <c r="N119" s="54">
        <f t="shared" si="42"/>
        <v>6.4999999999999929</v>
      </c>
      <c r="O119" s="54">
        <f t="shared" si="43"/>
        <v>6.4999999999999929</v>
      </c>
      <c r="P119" s="54">
        <f t="shared" si="44"/>
        <v>19.300000000000036</v>
      </c>
      <c r="Q119" s="54">
        <f t="shared" si="45"/>
        <v>6.4999999999999929</v>
      </c>
      <c r="R119" s="54">
        <f t="shared" si="46"/>
        <v>16.25609756097559</v>
      </c>
      <c r="S119" s="54">
        <f t="shared" si="47"/>
        <v>6.4999999999999929</v>
      </c>
      <c r="T119" s="54">
        <f t="shared" si="48"/>
        <v>6.4999999999999929</v>
      </c>
      <c r="U119" s="54">
        <f t="shared" si="49"/>
        <v>6.4999999999999929</v>
      </c>
      <c r="V119" s="54">
        <f t="shared" si="50"/>
        <v>6.4999999999999929</v>
      </c>
      <c r="W119" s="54">
        <f t="shared" si="51"/>
        <v>6.4999999999999929</v>
      </c>
      <c r="X119" s="54">
        <f t="shared" si="52"/>
        <v>6.4999999999999929</v>
      </c>
      <c r="Y119" s="54">
        <f t="shared" si="53"/>
        <v>17.746943765281209</v>
      </c>
      <c r="Z119" s="54">
        <f t="shared" si="54"/>
        <v>6.4999999999999929</v>
      </c>
      <c r="AA119" s="54">
        <f t="shared" si="55"/>
        <v>19.245098039215733</v>
      </c>
      <c r="AB119" s="54">
        <f t="shared" si="56"/>
        <v>16.25609756097559</v>
      </c>
      <c r="AC119" s="54">
        <f t="shared" si="57"/>
        <v>6.4999999999999929</v>
      </c>
      <c r="AD119" s="54">
        <f t="shared" si="58"/>
        <v>18.290878754171317</v>
      </c>
      <c r="AF119" s="54"/>
      <c r="AG119" s="54"/>
      <c r="AI119" s="54">
        <f t="shared" si="59"/>
        <v>6.4999999999999929</v>
      </c>
      <c r="AJ119" s="54">
        <f t="shared" si="60"/>
        <v>115</v>
      </c>
    </row>
    <row r="120" spans="2:36" hidden="1" x14ac:dyDescent="0.25">
      <c r="B120" s="51"/>
      <c r="C120" s="55"/>
      <c r="D120" s="55"/>
      <c r="E120" s="54">
        <v>116</v>
      </c>
      <c r="F120" s="54">
        <f t="shared" si="34"/>
        <v>14.659701492537287</v>
      </c>
      <c r="G120" s="54">
        <f t="shared" si="35"/>
        <v>32.275675675675792</v>
      </c>
      <c r="H120" s="54">
        <f t="shared" si="36"/>
        <v>6.5999999999999925</v>
      </c>
      <c r="I120" s="54">
        <f t="shared" si="37"/>
        <v>6.5999999999999925</v>
      </c>
      <c r="J120" s="54">
        <f t="shared" si="38"/>
        <v>6.5999999999999925</v>
      </c>
      <c r="K120" s="54">
        <f t="shared" si="39"/>
        <v>6.5999999999999925</v>
      </c>
      <c r="L120" s="54">
        <f t="shared" si="40"/>
        <v>6.5999999999999925</v>
      </c>
      <c r="M120" s="54">
        <f t="shared" si="41"/>
        <v>19.320848056537137</v>
      </c>
      <c r="N120" s="54">
        <f t="shared" si="42"/>
        <v>6.5999999999999925</v>
      </c>
      <c r="O120" s="54">
        <f t="shared" si="43"/>
        <v>6.5999999999999925</v>
      </c>
      <c r="P120" s="54">
        <f t="shared" si="44"/>
        <v>19.400000000000038</v>
      </c>
      <c r="Q120" s="54">
        <f t="shared" si="45"/>
        <v>6.5999999999999925</v>
      </c>
      <c r="R120" s="54">
        <f t="shared" si="46"/>
        <v>16.356097560975591</v>
      </c>
      <c r="S120" s="54">
        <f t="shared" si="47"/>
        <v>6.5999999999999925</v>
      </c>
      <c r="T120" s="54">
        <f t="shared" si="48"/>
        <v>6.5999999999999925</v>
      </c>
      <c r="U120" s="54">
        <f t="shared" si="49"/>
        <v>6.5999999999999925</v>
      </c>
      <c r="V120" s="54">
        <f t="shared" si="50"/>
        <v>6.5999999999999925</v>
      </c>
      <c r="W120" s="54">
        <f t="shared" si="51"/>
        <v>6.5999999999999925</v>
      </c>
      <c r="X120" s="54">
        <f t="shared" si="52"/>
        <v>6.5999999999999925</v>
      </c>
      <c r="Y120" s="54">
        <f t="shared" si="53"/>
        <v>17.84694376528121</v>
      </c>
      <c r="Z120" s="54">
        <f t="shared" si="54"/>
        <v>6.5999999999999925</v>
      </c>
      <c r="AA120" s="54">
        <f t="shared" si="55"/>
        <v>19.345098039215735</v>
      </c>
      <c r="AB120" s="54">
        <f t="shared" si="56"/>
        <v>16.356097560975591</v>
      </c>
      <c r="AC120" s="54">
        <f t="shared" si="57"/>
        <v>6.5999999999999925</v>
      </c>
      <c r="AD120" s="54">
        <f t="shared" si="58"/>
        <v>18.390878754171318</v>
      </c>
      <c r="AF120" s="54"/>
      <c r="AG120" s="54"/>
      <c r="AI120" s="54">
        <f t="shared" si="59"/>
        <v>6.5999999999999925</v>
      </c>
      <c r="AJ120" s="54">
        <f t="shared" si="60"/>
        <v>116</v>
      </c>
    </row>
    <row r="121" spans="2:36" hidden="1" x14ac:dyDescent="0.25">
      <c r="B121" s="51"/>
      <c r="C121" s="55"/>
      <c r="D121" s="55"/>
      <c r="E121" s="54">
        <v>117</v>
      </c>
      <c r="F121" s="54">
        <f t="shared" si="34"/>
        <v>14.759701492537287</v>
      </c>
      <c r="G121" s="54">
        <f t="shared" si="35"/>
        <v>32.375675675675794</v>
      </c>
      <c r="H121" s="54">
        <f t="shared" si="36"/>
        <v>6.6999999999999922</v>
      </c>
      <c r="I121" s="54">
        <f t="shared" si="37"/>
        <v>6.6999999999999922</v>
      </c>
      <c r="J121" s="54">
        <f t="shared" si="38"/>
        <v>6.6999999999999922</v>
      </c>
      <c r="K121" s="54">
        <f t="shared" si="39"/>
        <v>6.6999999999999922</v>
      </c>
      <c r="L121" s="54">
        <f t="shared" si="40"/>
        <v>6.6999999999999922</v>
      </c>
      <c r="M121" s="54">
        <f t="shared" si="41"/>
        <v>19.420848056537139</v>
      </c>
      <c r="N121" s="54">
        <f t="shared" si="42"/>
        <v>6.6999999999999922</v>
      </c>
      <c r="O121" s="54">
        <f t="shared" si="43"/>
        <v>6.6999999999999922</v>
      </c>
      <c r="P121" s="54">
        <f t="shared" si="44"/>
        <v>19.500000000000039</v>
      </c>
      <c r="Q121" s="54">
        <f t="shared" si="45"/>
        <v>6.6999999999999922</v>
      </c>
      <c r="R121" s="54">
        <f t="shared" si="46"/>
        <v>16.456097560975593</v>
      </c>
      <c r="S121" s="54">
        <f t="shared" si="47"/>
        <v>6.6999999999999922</v>
      </c>
      <c r="T121" s="54">
        <f t="shared" si="48"/>
        <v>6.6999999999999922</v>
      </c>
      <c r="U121" s="54">
        <f t="shared" si="49"/>
        <v>6.6999999999999922</v>
      </c>
      <c r="V121" s="54">
        <f t="shared" si="50"/>
        <v>6.6999999999999922</v>
      </c>
      <c r="W121" s="54">
        <f t="shared" si="51"/>
        <v>6.6999999999999922</v>
      </c>
      <c r="X121" s="54">
        <f t="shared" si="52"/>
        <v>6.6999999999999922</v>
      </c>
      <c r="Y121" s="54">
        <f t="shared" si="53"/>
        <v>17.946943765281212</v>
      </c>
      <c r="Z121" s="54">
        <f t="shared" si="54"/>
        <v>6.6999999999999922</v>
      </c>
      <c r="AA121" s="54">
        <f t="shared" si="55"/>
        <v>19.445098039215736</v>
      </c>
      <c r="AB121" s="54">
        <f t="shared" si="56"/>
        <v>16.456097560975593</v>
      </c>
      <c r="AC121" s="54">
        <f t="shared" si="57"/>
        <v>6.6999999999999922</v>
      </c>
      <c r="AD121" s="54">
        <f t="shared" si="58"/>
        <v>18.49087875417132</v>
      </c>
      <c r="AF121" s="54"/>
      <c r="AG121" s="54"/>
      <c r="AI121" s="54">
        <f t="shared" si="59"/>
        <v>6.6999999999999922</v>
      </c>
      <c r="AJ121" s="54">
        <f t="shared" si="60"/>
        <v>117</v>
      </c>
    </row>
    <row r="122" spans="2:36" hidden="1" x14ac:dyDescent="0.25">
      <c r="B122" s="51"/>
      <c r="C122" s="55"/>
      <c r="D122" s="55"/>
      <c r="E122" s="54">
        <v>118</v>
      </c>
      <c r="F122" s="54">
        <f t="shared" si="34"/>
        <v>14.859701492537287</v>
      </c>
      <c r="G122" s="54">
        <f t="shared" si="35"/>
        <v>32.475675675675795</v>
      </c>
      <c r="H122" s="54">
        <f t="shared" si="36"/>
        <v>6.7999999999999918</v>
      </c>
      <c r="I122" s="54">
        <f t="shared" si="37"/>
        <v>6.7999999999999918</v>
      </c>
      <c r="J122" s="54">
        <f t="shared" si="38"/>
        <v>6.7999999999999918</v>
      </c>
      <c r="K122" s="54">
        <f t="shared" si="39"/>
        <v>6.7999999999999918</v>
      </c>
      <c r="L122" s="54">
        <f t="shared" si="40"/>
        <v>6.7999999999999918</v>
      </c>
      <c r="M122" s="54">
        <f t="shared" si="41"/>
        <v>19.52084805653714</v>
      </c>
      <c r="N122" s="54">
        <f t="shared" si="42"/>
        <v>6.7999999999999918</v>
      </c>
      <c r="O122" s="54">
        <f t="shared" si="43"/>
        <v>6.7999999999999918</v>
      </c>
      <c r="P122" s="54">
        <f t="shared" si="44"/>
        <v>19.600000000000041</v>
      </c>
      <c r="Q122" s="54">
        <f t="shared" si="45"/>
        <v>6.7999999999999918</v>
      </c>
      <c r="R122" s="54">
        <f t="shared" si="46"/>
        <v>16.556097560975594</v>
      </c>
      <c r="S122" s="54">
        <f t="shared" si="47"/>
        <v>6.7999999999999918</v>
      </c>
      <c r="T122" s="54">
        <f t="shared" si="48"/>
        <v>6.7999999999999918</v>
      </c>
      <c r="U122" s="54">
        <f t="shared" si="49"/>
        <v>6.7999999999999918</v>
      </c>
      <c r="V122" s="54">
        <f t="shared" si="50"/>
        <v>6.7999999999999918</v>
      </c>
      <c r="W122" s="54">
        <f t="shared" si="51"/>
        <v>6.7999999999999918</v>
      </c>
      <c r="X122" s="54">
        <f t="shared" si="52"/>
        <v>6.7999999999999918</v>
      </c>
      <c r="Y122" s="54">
        <f t="shared" si="53"/>
        <v>18.046943765281213</v>
      </c>
      <c r="Z122" s="54">
        <f t="shared" si="54"/>
        <v>6.7999999999999918</v>
      </c>
      <c r="AA122" s="54">
        <f t="shared" si="55"/>
        <v>19.545098039215738</v>
      </c>
      <c r="AB122" s="54">
        <f t="shared" si="56"/>
        <v>16.556097560975594</v>
      </c>
      <c r="AC122" s="54">
        <f t="shared" si="57"/>
        <v>6.7999999999999918</v>
      </c>
      <c r="AD122" s="54">
        <f t="shared" si="58"/>
        <v>18.590878754171321</v>
      </c>
      <c r="AF122" s="54"/>
      <c r="AG122" s="54"/>
      <c r="AI122" s="54">
        <f t="shared" si="59"/>
        <v>6.7999999999999918</v>
      </c>
      <c r="AJ122" s="54">
        <f t="shared" si="60"/>
        <v>118</v>
      </c>
    </row>
    <row r="123" spans="2:36" hidden="1" x14ac:dyDescent="0.25">
      <c r="B123" s="51"/>
      <c r="C123" s="55"/>
      <c r="D123" s="55"/>
      <c r="E123" s="54">
        <v>119</v>
      </c>
      <c r="F123" s="54">
        <f t="shared" si="34"/>
        <v>14.959701492537286</v>
      </c>
      <c r="G123" s="54">
        <f t="shared" si="35"/>
        <v>32.575675675675797</v>
      </c>
      <c r="H123" s="54">
        <f t="shared" si="36"/>
        <v>6.8999999999999915</v>
      </c>
      <c r="I123" s="54">
        <f t="shared" si="37"/>
        <v>6.8999999999999915</v>
      </c>
      <c r="J123" s="54">
        <f t="shared" si="38"/>
        <v>6.8999999999999915</v>
      </c>
      <c r="K123" s="54">
        <f t="shared" si="39"/>
        <v>6.8999999999999915</v>
      </c>
      <c r="L123" s="54">
        <f t="shared" si="40"/>
        <v>6.8999999999999915</v>
      </c>
      <c r="M123" s="54">
        <f t="shared" si="41"/>
        <v>19.620848056537142</v>
      </c>
      <c r="N123" s="54">
        <f t="shared" si="42"/>
        <v>6.8999999999999915</v>
      </c>
      <c r="O123" s="54">
        <f t="shared" si="43"/>
        <v>6.8999999999999915</v>
      </c>
      <c r="P123" s="54">
        <f t="shared" si="44"/>
        <v>19.700000000000042</v>
      </c>
      <c r="Q123" s="54">
        <f t="shared" si="45"/>
        <v>6.8999999999999915</v>
      </c>
      <c r="R123" s="54">
        <f t="shared" si="46"/>
        <v>16.656097560975596</v>
      </c>
      <c r="S123" s="54">
        <f t="shared" si="47"/>
        <v>6.8999999999999915</v>
      </c>
      <c r="T123" s="54">
        <f t="shared" si="48"/>
        <v>6.8999999999999915</v>
      </c>
      <c r="U123" s="54">
        <f t="shared" si="49"/>
        <v>6.8999999999999915</v>
      </c>
      <c r="V123" s="54">
        <f t="shared" si="50"/>
        <v>6.8999999999999915</v>
      </c>
      <c r="W123" s="54">
        <f t="shared" si="51"/>
        <v>6.8999999999999915</v>
      </c>
      <c r="X123" s="54">
        <f t="shared" si="52"/>
        <v>6.8999999999999915</v>
      </c>
      <c r="Y123" s="54">
        <f t="shared" si="53"/>
        <v>18.146943765281215</v>
      </c>
      <c r="Z123" s="54">
        <f t="shared" si="54"/>
        <v>6.8999999999999915</v>
      </c>
      <c r="AA123" s="54">
        <f t="shared" si="55"/>
        <v>19.645098039215739</v>
      </c>
      <c r="AB123" s="54">
        <f t="shared" si="56"/>
        <v>16.656097560975596</v>
      </c>
      <c r="AC123" s="54">
        <f t="shared" si="57"/>
        <v>6.8999999999999915</v>
      </c>
      <c r="AD123" s="54">
        <f t="shared" si="58"/>
        <v>18.690878754171322</v>
      </c>
      <c r="AF123" s="54"/>
      <c r="AG123" s="54"/>
      <c r="AI123" s="54">
        <f t="shared" si="59"/>
        <v>6.8999999999999915</v>
      </c>
      <c r="AJ123" s="54">
        <f t="shared" si="60"/>
        <v>119</v>
      </c>
    </row>
    <row r="124" spans="2:36" hidden="1" x14ac:dyDescent="0.25">
      <c r="B124" s="51"/>
      <c r="C124" s="56"/>
      <c r="D124" s="56"/>
      <c r="E124" s="54">
        <v>120</v>
      </c>
      <c r="F124" s="54">
        <f t="shared" si="34"/>
        <v>15.059701492537286</v>
      </c>
      <c r="G124" s="54">
        <f t="shared" si="35"/>
        <v>32.675675675675798</v>
      </c>
      <c r="H124" s="54">
        <f t="shared" si="36"/>
        <v>6.9999999999999911</v>
      </c>
      <c r="I124" s="54">
        <f t="shared" si="37"/>
        <v>6.9999999999999911</v>
      </c>
      <c r="J124" s="54">
        <f t="shared" si="38"/>
        <v>6.9999999999999911</v>
      </c>
      <c r="K124" s="54">
        <f t="shared" si="39"/>
        <v>6.9999999999999911</v>
      </c>
      <c r="L124" s="54">
        <f t="shared" si="40"/>
        <v>6.9999999999999911</v>
      </c>
      <c r="M124" s="54">
        <f t="shared" si="41"/>
        <v>19.720848056537143</v>
      </c>
      <c r="N124" s="54">
        <f t="shared" si="42"/>
        <v>6.9999999999999911</v>
      </c>
      <c r="O124" s="54">
        <f t="shared" si="43"/>
        <v>6.9999999999999911</v>
      </c>
      <c r="P124" s="54">
        <f t="shared" si="44"/>
        <v>19.800000000000043</v>
      </c>
      <c r="Q124" s="54">
        <f t="shared" si="45"/>
        <v>6.9999999999999911</v>
      </c>
      <c r="R124" s="54">
        <f t="shared" si="46"/>
        <v>16.756097560975597</v>
      </c>
      <c r="S124" s="54">
        <f t="shared" si="47"/>
        <v>6.9999999999999911</v>
      </c>
      <c r="T124" s="54">
        <f t="shared" si="48"/>
        <v>6.9999999999999911</v>
      </c>
      <c r="U124" s="54">
        <f t="shared" si="49"/>
        <v>6.9999999999999911</v>
      </c>
      <c r="V124" s="54">
        <f t="shared" si="50"/>
        <v>6.9999999999999911</v>
      </c>
      <c r="W124" s="54">
        <f t="shared" si="51"/>
        <v>6.9999999999999911</v>
      </c>
      <c r="X124" s="54">
        <f t="shared" si="52"/>
        <v>6.9999999999999911</v>
      </c>
      <c r="Y124" s="54">
        <f t="shared" si="53"/>
        <v>18.246943765281216</v>
      </c>
      <c r="Z124" s="54">
        <f t="shared" si="54"/>
        <v>6.9999999999999911</v>
      </c>
      <c r="AA124" s="54">
        <f t="shared" si="55"/>
        <v>19.74509803921574</v>
      </c>
      <c r="AB124" s="54">
        <f t="shared" si="56"/>
        <v>16.756097560975597</v>
      </c>
      <c r="AC124" s="54">
        <f t="shared" si="57"/>
        <v>6.9999999999999911</v>
      </c>
      <c r="AD124" s="54">
        <f t="shared" si="58"/>
        <v>18.790878754171324</v>
      </c>
      <c r="AF124" s="54"/>
      <c r="AG124" s="54"/>
      <c r="AI124" s="54">
        <f t="shared" si="59"/>
        <v>6.9999999999999911</v>
      </c>
      <c r="AJ124" s="54">
        <f t="shared" si="60"/>
        <v>120</v>
      </c>
    </row>
    <row r="125" spans="2:36" hidden="1" x14ac:dyDescent="0.25">
      <c r="B125" s="51"/>
      <c r="C125" s="59"/>
      <c r="D125" s="60"/>
      <c r="E125" s="54">
        <v>121</v>
      </c>
      <c r="F125" s="54">
        <f t="shared" si="34"/>
        <v>15.159701492537286</v>
      </c>
      <c r="G125" s="54">
        <f t="shared" si="35"/>
        <v>32.775675675675799</v>
      </c>
      <c r="H125" s="54">
        <f t="shared" si="36"/>
        <v>7.0999999999999908</v>
      </c>
      <c r="I125" s="54">
        <f t="shared" si="37"/>
        <v>7.0999999999999908</v>
      </c>
      <c r="J125" s="54">
        <f t="shared" si="38"/>
        <v>7.0999999999999908</v>
      </c>
      <c r="K125" s="54">
        <f t="shared" si="39"/>
        <v>7.0999999999999908</v>
      </c>
      <c r="L125" s="54">
        <f t="shared" si="40"/>
        <v>7.0999999999999908</v>
      </c>
      <c r="M125" s="54">
        <f t="shared" si="41"/>
        <v>19.820848056537145</v>
      </c>
      <c r="N125" s="54">
        <f t="shared" si="42"/>
        <v>7.0999999999999908</v>
      </c>
      <c r="O125" s="54">
        <f t="shared" si="43"/>
        <v>7.0999999999999908</v>
      </c>
      <c r="P125" s="54">
        <f t="shared" si="44"/>
        <v>19.900000000000045</v>
      </c>
      <c r="Q125" s="54">
        <f t="shared" si="45"/>
        <v>7.0999999999999908</v>
      </c>
      <c r="R125" s="54">
        <f t="shared" si="46"/>
        <v>16.856097560975599</v>
      </c>
      <c r="S125" s="54">
        <f t="shared" si="47"/>
        <v>7.0999999999999908</v>
      </c>
      <c r="T125" s="54">
        <f t="shared" si="48"/>
        <v>7.0999999999999908</v>
      </c>
      <c r="U125" s="54">
        <f t="shared" si="49"/>
        <v>7.0999999999999908</v>
      </c>
      <c r="V125" s="54">
        <f t="shared" si="50"/>
        <v>7.0999999999999908</v>
      </c>
      <c r="W125" s="54">
        <f t="shared" si="51"/>
        <v>7.0999999999999908</v>
      </c>
      <c r="X125" s="54">
        <f t="shared" si="52"/>
        <v>7.0999999999999908</v>
      </c>
      <c r="Y125" s="54">
        <f t="shared" si="53"/>
        <v>18.346943765281218</v>
      </c>
      <c r="Z125" s="54">
        <f t="shared" si="54"/>
        <v>7.0999999999999908</v>
      </c>
      <c r="AA125" s="54">
        <f t="shared" si="55"/>
        <v>19.845098039215742</v>
      </c>
      <c r="AB125" s="54">
        <f t="shared" si="56"/>
        <v>16.856097560975599</v>
      </c>
      <c r="AC125" s="54">
        <f t="shared" si="57"/>
        <v>7.0999999999999908</v>
      </c>
      <c r="AD125" s="54">
        <f t="shared" si="58"/>
        <v>18.890878754171325</v>
      </c>
      <c r="AF125" s="54"/>
      <c r="AG125" s="54"/>
      <c r="AI125" s="54">
        <f t="shared" si="59"/>
        <v>7.0999999999999908</v>
      </c>
      <c r="AJ125" s="54">
        <f t="shared" si="60"/>
        <v>121</v>
      </c>
    </row>
    <row r="126" spans="2:36" hidden="1" x14ac:dyDescent="0.25">
      <c r="B126" s="51"/>
      <c r="C126" s="59"/>
      <c r="D126" s="60"/>
      <c r="E126" s="54">
        <v>122</v>
      </c>
      <c r="F126" s="54">
        <f t="shared" si="34"/>
        <v>15.259701492537285</v>
      </c>
      <c r="G126" s="54">
        <f t="shared" si="35"/>
        <v>32.875675675675801</v>
      </c>
      <c r="H126" s="54">
        <f t="shared" si="36"/>
        <v>7.1999999999999904</v>
      </c>
      <c r="I126" s="54">
        <f t="shared" si="37"/>
        <v>7.1999999999999904</v>
      </c>
      <c r="J126" s="54">
        <f t="shared" si="38"/>
        <v>7.1999999999999904</v>
      </c>
      <c r="K126" s="54">
        <f t="shared" si="39"/>
        <v>7.1999999999999904</v>
      </c>
      <c r="L126" s="54">
        <f t="shared" si="40"/>
        <v>7.1999999999999904</v>
      </c>
      <c r="M126" s="54">
        <f t="shared" si="41"/>
        <v>19.920848056537146</v>
      </c>
      <c r="N126" s="54">
        <f t="shared" si="42"/>
        <v>7.1999999999999904</v>
      </c>
      <c r="O126" s="54">
        <f t="shared" si="43"/>
        <v>7.1999999999999904</v>
      </c>
      <c r="P126" s="54">
        <f t="shared" si="44"/>
        <v>20.000000000000046</v>
      </c>
      <c r="Q126" s="54">
        <f t="shared" si="45"/>
        <v>7.1999999999999904</v>
      </c>
      <c r="R126" s="54">
        <f t="shared" si="46"/>
        <v>16.9560975609756</v>
      </c>
      <c r="S126" s="54">
        <f t="shared" si="47"/>
        <v>7.1999999999999904</v>
      </c>
      <c r="T126" s="54">
        <f t="shared" si="48"/>
        <v>7.1999999999999904</v>
      </c>
      <c r="U126" s="54">
        <f t="shared" si="49"/>
        <v>7.1999999999999904</v>
      </c>
      <c r="V126" s="54">
        <f t="shared" si="50"/>
        <v>7.1999999999999904</v>
      </c>
      <c r="W126" s="54">
        <f t="shared" si="51"/>
        <v>7.1999999999999904</v>
      </c>
      <c r="X126" s="54">
        <f t="shared" si="52"/>
        <v>7.1999999999999904</v>
      </c>
      <c r="Y126" s="54">
        <f t="shared" si="53"/>
        <v>18.446943765281219</v>
      </c>
      <c r="Z126" s="54">
        <f t="shared" si="54"/>
        <v>7.1999999999999904</v>
      </c>
      <c r="AA126" s="54">
        <f t="shared" si="55"/>
        <v>19.945098039215743</v>
      </c>
      <c r="AB126" s="54">
        <f t="shared" si="56"/>
        <v>16.9560975609756</v>
      </c>
      <c r="AC126" s="54">
        <f t="shared" si="57"/>
        <v>7.1999999999999904</v>
      </c>
      <c r="AD126" s="54">
        <f t="shared" si="58"/>
        <v>18.990878754171327</v>
      </c>
      <c r="AF126" s="54"/>
      <c r="AG126" s="54"/>
      <c r="AI126" s="54">
        <f t="shared" si="59"/>
        <v>7.1999999999999904</v>
      </c>
      <c r="AJ126" s="54">
        <f t="shared" si="60"/>
        <v>122</v>
      </c>
    </row>
    <row r="127" spans="2:36" hidden="1" x14ac:dyDescent="0.25">
      <c r="B127" s="51"/>
      <c r="C127" s="59"/>
      <c r="D127" s="60"/>
      <c r="E127" s="54">
        <v>123</v>
      </c>
      <c r="F127" s="54">
        <f t="shared" si="34"/>
        <v>15.359701492537285</v>
      </c>
      <c r="G127" s="54">
        <f t="shared" si="35"/>
        <v>32.975675675675802</v>
      </c>
      <c r="H127" s="54">
        <f t="shared" si="36"/>
        <v>7.2999999999999901</v>
      </c>
      <c r="I127" s="54">
        <f t="shared" si="37"/>
        <v>7.2999999999999901</v>
      </c>
      <c r="J127" s="54">
        <f t="shared" si="38"/>
        <v>7.2999999999999901</v>
      </c>
      <c r="K127" s="54">
        <f t="shared" si="39"/>
        <v>7.2999999999999901</v>
      </c>
      <c r="L127" s="54">
        <f t="shared" si="40"/>
        <v>7.2999999999999901</v>
      </c>
      <c r="M127" s="54">
        <f t="shared" si="41"/>
        <v>20.020848056537147</v>
      </c>
      <c r="N127" s="54">
        <f t="shared" si="42"/>
        <v>7.2999999999999901</v>
      </c>
      <c r="O127" s="54">
        <f t="shared" si="43"/>
        <v>7.2999999999999901</v>
      </c>
      <c r="P127" s="54">
        <f t="shared" si="44"/>
        <v>20.100000000000048</v>
      </c>
      <c r="Q127" s="54">
        <f t="shared" si="45"/>
        <v>7.2999999999999901</v>
      </c>
      <c r="R127" s="54">
        <f t="shared" si="46"/>
        <v>17.056097560975601</v>
      </c>
      <c r="S127" s="54">
        <f t="shared" si="47"/>
        <v>7.2999999999999901</v>
      </c>
      <c r="T127" s="54">
        <f t="shared" si="48"/>
        <v>7.2999999999999901</v>
      </c>
      <c r="U127" s="54">
        <f t="shared" si="49"/>
        <v>7.2999999999999901</v>
      </c>
      <c r="V127" s="54">
        <f t="shared" si="50"/>
        <v>7.2999999999999901</v>
      </c>
      <c r="W127" s="54">
        <f t="shared" si="51"/>
        <v>7.2999999999999901</v>
      </c>
      <c r="X127" s="54">
        <f t="shared" si="52"/>
        <v>7.2999999999999901</v>
      </c>
      <c r="Y127" s="54">
        <f t="shared" si="53"/>
        <v>18.54694376528122</v>
      </c>
      <c r="Z127" s="54">
        <f t="shared" si="54"/>
        <v>7.2999999999999901</v>
      </c>
      <c r="AA127" s="54">
        <f t="shared" si="55"/>
        <v>20.045098039215745</v>
      </c>
      <c r="AB127" s="54">
        <f t="shared" si="56"/>
        <v>17.056097560975601</v>
      </c>
      <c r="AC127" s="54">
        <f t="shared" si="57"/>
        <v>7.2999999999999901</v>
      </c>
      <c r="AD127" s="54">
        <f t="shared" si="58"/>
        <v>19.090878754171328</v>
      </c>
      <c r="AF127" s="54"/>
      <c r="AG127" s="54"/>
      <c r="AI127" s="54">
        <f t="shared" si="59"/>
        <v>7.2999999999999901</v>
      </c>
      <c r="AJ127" s="54">
        <f t="shared" si="60"/>
        <v>123</v>
      </c>
    </row>
    <row r="128" spans="2:36" hidden="1" x14ac:dyDescent="0.25">
      <c r="B128" s="51"/>
      <c r="C128" s="61"/>
      <c r="D128" s="60"/>
      <c r="E128" s="54">
        <v>124</v>
      </c>
      <c r="F128" s="54">
        <f t="shared" si="34"/>
        <v>15.459701492537285</v>
      </c>
      <c r="G128" s="54">
        <f t="shared" si="35"/>
        <v>33.075675675675804</v>
      </c>
      <c r="H128" s="54">
        <f t="shared" si="36"/>
        <v>7.3999999999999897</v>
      </c>
      <c r="I128" s="54">
        <f t="shared" si="37"/>
        <v>7.3999999999999897</v>
      </c>
      <c r="J128" s="54">
        <f t="shared" si="38"/>
        <v>7.3999999999999897</v>
      </c>
      <c r="K128" s="54">
        <f t="shared" si="39"/>
        <v>7.3999999999999897</v>
      </c>
      <c r="L128" s="54">
        <f t="shared" si="40"/>
        <v>7.3999999999999897</v>
      </c>
      <c r="M128" s="54">
        <f t="shared" si="41"/>
        <v>20.120848056537149</v>
      </c>
      <c r="N128" s="54">
        <f t="shared" si="42"/>
        <v>7.3999999999999897</v>
      </c>
      <c r="O128" s="54">
        <f t="shared" si="43"/>
        <v>7.3999999999999897</v>
      </c>
      <c r="P128" s="54">
        <f t="shared" si="44"/>
        <v>20.200000000000049</v>
      </c>
      <c r="Q128" s="54">
        <f t="shared" si="45"/>
        <v>7.3999999999999897</v>
      </c>
      <c r="R128" s="54">
        <f t="shared" si="46"/>
        <v>17.156097560975603</v>
      </c>
      <c r="S128" s="54">
        <f t="shared" si="47"/>
        <v>7.3999999999999897</v>
      </c>
      <c r="T128" s="54">
        <f t="shared" si="48"/>
        <v>7.3999999999999897</v>
      </c>
      <c r="U128" s="54">
        <f t="shared" si="49"/>
        <v>7.3999999999999897</v>
      </c>
      <c r="V128" s="54">
        <f t="shared" si="50"/>
        <v>7.3999999999999897</v>
      </c>
      <c r="W128" s="54">
        <f t="shared" si="51"/>
        <v>7.3999999999999897</v>
      </c>
      <c r="X128" s="54">
        <f t="shared" si="52"/>
        <v>7.3999999999999897</v>
      </c>
      <c r="Y128" s="54">
        <f t="shared" si="53"/>
        <v>18.646943765281222</v>
      </c>
      <c r="Z128" s="54">
        <f t="shared" si="54"/>
        <v>7.3999999999999897</v>
      </c>
      <c r="AA128" s="54">
        <f t="shared" si="55"/>
        <v>20.145098039215746</v>
      </c>
      <c r="AB128" s="54">
        <f t="shared" si="56"/>
        <v>17.156097560975603</v>
      </c>
      <c r="AC128" s="54">
        <f t="shared" si="57"/>
        <v>7.3999999999999897</v>
      </c>
      <c r="AD128" s="54">
        <f t="shared" si="58"/>
        <v>19.190878754171329</v>
      </c>
      <c r="AF128" s="54"/>
      <c r="AG128" s="54"/>
      <c r="AI128" s="54">
        <f t="shared" si="59"/>
        <v>7.3999999999999897</v>
      </c>
      <c r="AJ128" s="54">
        <f t="shared" si="60"/>
        <v>124</v>
      </c>
    </row>
    <row r="129" spans="2:36" hidden="1" x14ac:dyDescent="0.25">
      <c r="B129" s="51"/>
      <c r="C129" s="59"/>
      <c r="D129" s="60"/>
      <c r="E129" s="54">
        <v>125</v>
      </c>
      <c r="F129" s="54">
        <f t="shared" si="34"/>
        <v>15.559701492537284</v>
      </c>
      <c r="G129" s="54">
        <f t="shared" si="35"/>
        <v>33.175675675675805</v>
      </c>
      <c r="H129" s="54">
        <f t="shared" si="36"/>
        <v>7.4999999999999893</v>
      </c>
      <c r="I129" s="54">
        <f t="shared" si="37"/>
        <v>7.4999999999999893</v>
      </c>
      <c r="J129" s="54">
        <f t="shared" si="38"/>
        <v>7.4999999999999893</v>
      </c>
      <c r="K129" s="54">
        <f t="shared" si="39"/>
        <v>7.4999999999999893</v>
      </c>
      <c r="L129" s="54">
        <f t="shared" si="40"/>
        <v>7.4999999999999893</v>
      </c>
      <c r="M129" s="54">
        <f t="shared" si="41"/>
        <v>20.22084805653715</v>
      </c>
      <c r="N129" s="54">
        <f t="shared" si="42"/>
        <v>7.4999999999999893</v>
      </c>
      <c r="O129" s="54">
        <f t="shared" si="43"/>
        <v>7.4999999999999893</v>
      </c>
      <c r="P129" s="54">
        <f t="shared" si="44"/>
        <v>20.30000000000005</v>
      </c>
      <c r="Q129" s="54">
        <f t="shared" si="45"/>
        <v>7.4999999999999893</v>
      </c>
      <c r="R129" s="54">
        <f t="shared" si="46"/>
        <v>17.256097560975604</v>
      </c>
      <c r="S129" s="54">
        <f t="shared" si="47"/>
        <v>7.4999999999999893</v>
      </c>
      <c r="T129" s="54">
        <f t="shared" si="48"/>
        <v>7.4999999999999893</v>
      </c>
      <c r="U129" s="54">
        <f t="shared" si="49"/>
        <v>7.4999999999999893</v>
      </c>
      <c r="V129" s="54">
        <f t="shared" si="50"/>
        <v>7.4999999999999893</v>
      </c>
      <c r="W129" s="54">
        <f t="shared" si="51"/>
        <v>7.4999999999999893</v>
      </c>
      <c r="X129" s="54">
        <f t="shared" si="52"/>
        <v>7.4999999999999893</v>
      </c>
      <c r="Y129" s="54">
        <f t="shared" si="53"/>
        <v>18.746943765281223</v>
      </c>
      <c r="Z129" s="54">
        <f t="shared" si="54"/>
        <v>7.4999999999999893</v>
      </c>
      <c r="AA129" s="54">
        <f t="shared" si="55"/>
        <v>20.245098039215748</v>
      </c>
      <c r="AB129" s="54">
        <f t="shared" si="56"/>
        <v>17.256097560975604</v>
      </c>
      <c r="AC129" s="54">
        <f t="shared" si="57"/>
        <v>7.4999999999999893</v>
      </c>
      <c r="AD129" s="54">
        <f t="shared" si="58"/>
        <v>19.290878754171331</v>
      </c>
      <c r="AF129" s="54"/>
      <c r="AG129" s="54"/>
      <c r="AI129" s="54">
        <f t="shared" si="59"/>
        <v>7.4999999999999893</v>
      </c>
      <c r="AJ129" s="54">
        <f t="shared" si="60"/>
        <v>125</v>
      </c>
    </row>
    <row r="130" spans="2:36" hidden="1" x14ac:dyDescent="0.25">
      <c r="B130" s="51"/>
      <c r="C130" s="59"/>
      <c r="D130" s="60"/>
      <c r="E130" s="54">
        <v>126</v>
      </c>
      <c r="F130" s="54">
        <f t="shared" si="34"/>
        <v>15.659701492537284</v>
      </c>
      <c r="G130" s="54">
        <f t="shared" si="35"/>
        <v>33.275675675675807</v>
      </c>
      <c r="H130" s="54">
        <f t="shared" si="36"/>
        <v>7.599999999999989</v>
      </c>
      <c r="I130" s="54">
        <f t="shared" si="37"/>
        <v>7.599999999999989</v>
      </c>
      <c r="J130" s="54">
        <f t="shared" si="38"/>
        <v>7.599999999999989</v>
      </c>
      <c r="K130" s="54">
        <f t="shared" si="39"/>
        <v>7.599999999999989</v>
      </c>
      <c r="L130" s="54">
        <f t="shared" si="40"/>
        <v>7.599999999999989</v>
      </c>
      <c r="M130" s="54">
        <f t="shared" si="41"/>
        <v>20.320848056537152</v>
      </c>
      <c r="N130" s="54">
        <f t="shared" si="42"/>
        <v>7.599999999999989</v>
      </c>
      <c r="O130" s="54">
        <f t="shared" si="43"/>
        <v>7.599999999999989</v>
      </c>
      <c r="P130" s="54">
        <f t="shared" si="44"/>
        <v>20.400000000000052</v>
      </c>
      <c r="Q130" s="54">
        <f t="shared" si="45"/>
        <v>7.599999999999989</v>
      </c>
      <c r="R130" s="54">
        <f t="shared" si="46"/>
        <v>17.356097560975606</v>
      </c>
      <c r="S130" s="54">
        <f t="shared" si="47"/>
        <v>7.599999999999989</v>
      </c>
      <c r="T130" s="54">
        <f t="shared" si="48"/>
        <v>7.599999999999989</v>
      </c>
      <c r="U130" s="54">
        <f t="shared" si="49"/>
        <v>7.599999999999989</v>
      </c>
      <c r="V130" s="54">
        <f t="shared" si="50"/>
        <v>7.599999999999989</v>
      </c>
      <c r="W130" s="54">
        <f t="shared" si="51"/>
        <v>7.599999999999989</v>
      </c>
      <c r="X130" s="54">
        <f t="shared" si="52"/>
        <v>7.599999999999989</v>
      </c>
      <c r="Y130" s="54">
        <f t="shared" si="53"/>
        <v>18.846943765281225</v>
      </c>
      <c r="Z130" s="54">
        <f t="shared" si="54"/>
        <v>7.599999999999989</v>
      </c>
      <c r="AA130" s="54">
        <f t="shared" si="55"/>
        <v>20.345098039215749</v>
      </c>
      <c r="AB130" s="54">
        <f t="shared" si="56"/>
        <v>17.356097560975606</v>
      </c>
      <c r="AC130" s="54">
        <f t="shared" si="57"/>
        <v>7.599999999999989</v>
      </c>
      <c r="AD130" s="54">
        <f t="shared" si="58"/>
        <v>19.390878754171332</v>
      </c>
      <c r="AF130" s="54"/>
      <c r="AG130" s="54"/>
      <c r="AI130" s="54">
        <f t="shared" si="59"/>
        <v>7.599999999999989</v>
      </c>
      <c r="AJ130" s="54">
        <f t="shared" si="60"/>
        <v>126</v>
      </c>
    </row>
    <row r="131" spans="2:36" hidden="1" x14ac:dyDescent="0.25">
      <c r="B131" s="51"/>
      <c r="C131" s="59"/>
      <c r="D131" s="60"/>
      <c r="E131" s="54">
        <v>127</v>
      </c>
      <c r="F131" s="54">
        <f t="shared" si="34"/>
        <v>15.759701492537284</v>
      </c>
      <c r="G131" s="54">
        <f t="shared" si="35"/>
        <v>33.375675675675808</v>
      </c>
      <c r="H131" s="54">
        <f t="shared" si="36"/>
        <v>7.6999999999999886</v>
      </c>
      <c r="I131" s="54">
        <f t="shared" si="37"/>
        <v>7.6999999999999886</v>
      </c>
      <c r="J131" s="54">
        <f t="shared" si="38"/>
        <v>7.6999999999999886</v>
      </c>
      <c r="K131" s="54">
        <f t="shared" si="39"/>
        <v>7.6999999999999886</v>
      </c>
      <c r="L131" s="54">
        <f t="shared" si="40"/>
        <v>7.6999999999999886</v>
      </c>
      <c r="M131" s="54">
        <f t="shared" si="41"/>
        <v>20.420848056537153</v>
      </c>
      <c r="N131" s="54">
        <f t="shared" si="42"/>
        <v>7.6999999999999886</v>
      </c>
      <c r="O131" s="54">
        <f t="shared" si="43"/>
        <v>7.6999999999999886</v>
      </c>
      <c r="P131" s="54">
        <f t="shared" si="44"/>
        <v>20.500000000000053</v>
      </c>
      <c r="Q131" s="54">
        <f t="shared" si="45"/>
        <v>7.6999999999999886</v>
      </c>
      <c r="R131" s="54">
        <f t="shared" si="46"/>
        <v>17.456097560975607</v>
      </c>
      <c r="S131" s="54">
        <f t="shared" si="47"/>
        <v>7.6999999999999886</v>
      </c>
      <c r="T131" s="54">
        <f t="shared" si="48"/>
        <v>7.6999999999999886</v>
      </c>
      <c r="U131" s="54">
        <f t="shared" si="49"/>
        <v>7.6999999999999886</v>
      </c>
      <c r="V131" s="54">
        <f t="shared" si="50"/>
        <v>7.6999999999999886</v>
      </c>
      <c r="W131" s="54">
        <f t="shared" si="51"/>
        <v>7.6999999999999886</v>
      </c>
      <c r="X131" s="54">
        <f t="shared" si="52"/>
        <v>7.6999999999999886</v>
      </c>
      <c r="Y131" s="54">
        <f t="shared" si="53"/>
        <v>18.946943765281226</v>
      </c>
      <c r="Z131" s="54">
        <f t="shared" si="54"/>
        <v>7.6999999999999886</v>
      </c>
      <c r="AA131" s="54">
        <f t="shared" si="55"/>
        <v>20.44509803921575</v>
      </c>
      <c r="AB131" s="54">
        <f t="shared" si="56"/>
        <v>17.456097560975607</v>
      </c>
      <c r="AC131" s="54">
        <f t="shared" si="57"/>
        <v>7.6999999999999886</v>
      </c>
      <c r="AD131" s="54">
        <f t="shared" si="58"/>
        <v>19.490878754171334</v>
      </c>
      <c r="AF131" s="54"/>
      <c r="AG131" s="54"/>
      <c r="AI131" s="54">
        <f t="shared" si="59"/>
        <v>7.6999999999999886</v>
      </c>
      <c r="AJ131" s="54">
        <f t="shared" si="60"/>
        <v>127</v>
      </c>
    </row>
    <row r="132" spans="2:36" hidden="1" x14ac:dyDescent="0.25">
      <c r="B132" s="51"/>
      <c r="C132" s="61"/>
      <c r="D132" s="60"/>
      <c r="E132" s="54">
        <v>128</v>
      </c>
      <c r="F132" s="54">
        <f t="shared" si="34"/>
        <v>15.859701492537283</v>
      </c>
      <c r="G132" s="54">
        <f t="shared" si="35"/>
        <v>33.475675675675809</v>
      </c>
      <c r="H132" s="54">
        <f t="shared" si="36"/>
        <v>7.7999999999999883</v>
      </c>
      <c r="I132" s="54">
        <f t="shared" si="37"/>
        <v>7.7999999999999883</v>
      </c>
      <c r="J132" s="54">
        <f t="shared" si="38"/>
        <v>7.7999999999999883</v>
      </c>
      <c r="K132" s="54">
        <f t="shared" si="39"/>
        <v>7.7999999999999883</v>
      </c>
      <c r="L132" s="54">
        <f t="shared" si="40"/>
        <v>7.7999999999999883</v>
      </c>
      <c r="M132" s="54">
        <f t="shared" si="41"/>
        <v>20.520848056537154</v>
      </c>
      <c r="N132" s="54">
        <f t="shared" si="42"/>
        <v>7.7999999999999883</v>
      </c>
      <c r="O132" s="54">
        <f t="shared" si="43"/>
        <v>7.7999999999999883</v>
      </c>
      <c r="P132" s="54">
        <f t="shared" si="44"/>
        <v>20.600000000000055</v>
      </c>
      <c r="Q132" s="54">
        <f t="shared" si="45"/>
        <v>7.7999999999999883</v>
      </c>
      <c r="R132" s="54">
        <f t="shared" si="46"/>
        <v>17.556097560975608</v>
      </c>
      <c r="S132" s="54">
        <f t="shared" si="47"/>
        <v>7.7999999999999883</v>
      </c>
      <c r="T132" s="54">
        <f t="shared" si="48"/>
        <v>7.7999999999999883</v>
      </c>
      <c r="U132" s="54">
        <f t="shared" si="49"/>
        <v>7.7999999999999883</v>
      </c>
      <c r="V132" s="54">
        <f t="shared" si="50"/>
        <v>7.7999999999999883</v>
      </c>
      <c r="W132" s="54">
        <f t="shared" si="51"/>
        <v>7.7999999999999883</v>
      </c>
      <c r="X132" s="54">
        <f t="shared" si="52"/>
        <v>7.7999999999999883</v>
      </c>
      <c r="Y132" s="54">
        <f t="shared" si="53"/>
        <v>19.046943765281227</v>
      </c>
      <c r="Z132" s="54">
        <f t="shared" si="54"/>
        <v>7.7999999999999883</v>
      </c>
      <c r="AA132" s="54">
        <f t="shared" si="55"/>
        <v>20.545098039215752</v>
      </c>
      <c r="AB132" s="54">
        <f t="shared" si="56"/>
        <v>17.556097560975608</v>
      </c>
      <c r="AC132" s="54">
        <f t="shared" si="57"/>
        <v>7.7999999999999883</v>
      </c>
      <c r="AD132" s="54">
        <f t="shared" si="58"/>
        <v>19.590878754171335</v>
      </c>
      <c r="AF132" s="54"/>
      <c r="AG132" s="54"/>
      <c r="AI132" s="54">
        <f t="shared" si="59"/>
        <v>7.7999999999999883</v>
      </c>
      <c r="AJ132" s="54">
        <f t="shared" si="60"/>
        <v>128</v>
      </c>
    </row>
    <row r="133" spans="2:36" hidden="1" x14ac:dyDescent="0.25">
      <c r="B133" s="51"/>
      <c r="C133" s="61"/>
      <c r="D133" s="60"/>
      <c r="E133" s="54">
        <v>129</v>
      </c>
      <c r="F133" s="54">
        <f t="shared" si="34"/>
        <v>15.959701492537283</v>
      </c>
      <c r="G133" s="54">
        <f t="shared" si="35"/>
        <v>33.575675675675811</v>
      </c>
      <c r="H133" s="54">
        <f t="shared" si="36"/>
        <v>7.8999999999999879</v>
      </c>
      <c r="I133" s="54">
        <f t="shared" si="37"/>
        <v>7.8999999999999879</v>
      </c>
      <c r="J133" s="54">
        <f t="shared" si="38"/>
        <v>7.8999999999999879</v>
      </c>
      <c r="K133" s="54">
        <f t="shared" si="39"/>
        <v>7.8999999999999879</v>
      </c>
      <c r="L133" s="54">
        <f t="shared" si="40"/>
        <v>7.8999999999999879</v>
      </c>
      <c r="M133" s="54">
        <f t="shared" si="41"/>
        <v>20.620848056537156</v>
      </c>
      <c r="N133" s="54">
        <f t="shared" si="42"/>
        <v>7.8999999999999879</v>
      </c>
      <c r="O133" s="54">
        <f t="shared" si="43"/>
        <v>7.8999999999999879</v>
      </c>
      <c r="P133" s="54">
        <f t="shared" si="44"/>
        <v>20.700000000000056</v>
      </c>
      <c r="Q133" s="54">
        <f t="shared" si="45"/>
        <v>7.8999999999999879</v>
      </c>
      <c r="R133" s="54">
        <f t="shared" si="46"/>
        <v>17.65609756097561</v>
      </c>
      <c r="S133" s="54">
        <f t="shared" si="47"/>
        <v>7.8999999999999879</v>
      </c>
      <c r="T133" s="54">
        <f t="shared" si="48"/>
        <v>7.8999999999999879</v>
      </c>
      <c r="U133" s="54">
        <f t="shared" si="49"/>
        <v>7.8999999999999879</v>
      </c>
      <c r="V133" s="54">
        <f t="shared" si="50"/>
        <v>7.8999999999999879</v>
      </c>
      <c r="W133" s="54">
        <f t="shared" si="51"/>
        <v>7.8999999999999879</v>
      </c>
      <c r="X133" s="54">
        <f t="shared" si="52"/>
        <v>7.8999999999999879</v>
      </c>
      <c r="Y133" s="54">
        <f t="shared" si="53"/>
        <v>19.146943765281229</v>
      </c>
      <c r="Z133" s="54">
        <f t="shared" si="54"/>
        <v>7.8999999999999879</v>
      </c>
      <c r="AA133" s="54">
        <f t="shared" si="55"/>
        <v>20.645098039215753</v>
      </c>
      <c r="AB133" s="54">
        <f t="shared" si="56"/>
        <v>17.65609756097561</v>
      </c>
      <c r="AC133" s="54">
        <f t="shared" si="57"/>
        <v>7.8999999999999879</v>
      </c>
      <c r="AD133" s="54">
        <f t="shared" si="58"/>
        <v>19.690878754171337</v>
      </c>
      <c r="AF133" s="54"/>
      <c r="AG133" s="54"/>
      <c r="AI133" s="54">
        <f t="shared" si="59"/>
        <v>7.8999999999999879</v>
      </c>
      <c r="AJ133" s="54">
        <f t="shared" si="60"/>
        <v>129</v>
      </c>
    </row>
    <row r="134" spans="2:36" hidden="1" x14ac:dyDescent="0.25">
      <c r="B134" s="51"/>
      <c r="C134" s="54"/>
      <c r="D134" s="54"/>
      <c r="E134" s="54">
        <v>130</v>
      </c>
      <c r="F134" s="54">
        <f t="shared" si="34"/>
        <v>16.059701492537283</v>
      </c>
      <c r="G134" s="54">
        <f t="shared" si="35"/>
        <v>33.675675675675812</v>
      </c>
      <c r="H134" s="54">
        <f t="shared" si="36"/>
        <v>7.9999999999999876</v>
      </c>
      <c r="I134" s="54">
        <f t="shared" si="37"/>
        <v>7.9999999999999876</v>
      </c>
      <c r="J134" s="54">
        <f t="shared" si="38"/>
        <v>7.9999999999999876</v>
      </c>
      <c r="K134" s="54">
        <f t="shared" si="39"/>
        <v>7.9999999999999876</v>
      </c>
      <c r="L134" s="54">
        <f t="shared" si="40"/>
        <v>7.9999999999999876</v>
      </c>
      <c r="M134" s="54">
        <f t="shared" si="41"/>
        <v>20.720848056537157</v>
      </c>
      <c r="N134" s="54">
        <f t="shared" si="42"/>
        <v>7.9999999999999876</v>
      </c>
      <c r="O134" s="54">
        <f t="shared" si="43"/>
        <v>7.9999999999999876</v>
      </c>
      <c r="P134" s="54">
        <f t="shared" si="44"/>
        <v>20.800000000000058</v>
      </c>
      <c r="Q134" s="54">
        <f t="shared" si="45"/>
        <v>7.9999999999999876</v>
      </c>
      <c r="R134" s="54">
        <f t="shared" si="46"/>
        <v>17.756097560975611</v>
      </c>
      <c r="S134" s="54">
        <f t="shared" si="47"/>
        <v>7.9999999999999876</v>
      </c>
      <c r="T134" s="54">
        <f t="shared" si="48"/>
        <v>7.9999999999999876</v>
      </c>
      <c r="U134" s="54">
        <f t="shared" si="49"/>
        <v>7.9999999999999876</v>
      </c>
      <c r="V134" s="54">
        <f t="shared" si="50"/>
        <v>7.9999999999999876</v>
      </c>
      <c r="W134" s="54">
        <f t="shared" si="51"/>
        <v>7.9999999999999876</v>
      </c>
      <c r="X134" s="54">
        <f t="shared" si="52"/>
        <v>7.9999999999999876</v>
      </c>
      <c r="Y134" s="54">
        <f t="shared" si="53"/>
        <v>19.24694376528123</v>
      </c>
      <c r="Z134" s="54">
        <f t="shared" si="54"/>
        <v>7.9999999999999876</v>
      </c>
      <c r="AA134" s="54">
        <f t="shared" si="55"/>
        <v>20.745098039215755</v>
      </c>
      <c r="AB134" s="54">
        <f t="shared" si="56"/>
        <v>17.756097560975611</v>
      </c>
      <c r="AC134" s="54">
        <f t="shared" si="57"/>
        <v>7.9999999999999876</v>
      </c>
      <c r="AD134" s="54">
        <f t="shared" si="58"/>
        <v>19.790878754171338</v>
      </c>
      <c r="AF134" s="54"/>
      <c r="AG134" s="54"/>
      <c r="AI134" s="54">
        <f t="shared" si="59"/>
        <v>7.9999999999999876</v>
      </c>
      <c r="AJ134" s="54">
        <f t="shared" si="60"/>
        <v>130</v>
      </c>
    </row>
    <row r="135" spans="2:36" hidden="1" x14ac:dyDescent="0.25">
      <c r="B135" s="51"/>
      <c r="C135" s="62"/>
      <c r="D135" s="62"/>
      <c r="E135" s="54">
        <v>131</v>
      </c>
      <c r="F135" s="54">
        <f t="shared" si="34"/>
        <v>16.159701492537284</v>
      </c>
      <c r="G135" s="54">
        <f t="shared" si="35"/>
        <v>33.775675675675814</v>
      </c>
      <c r="H135" s="54">
        <f t="shared" si="36"/>
        <v>8.0999999999999872</v>
      </c>
      <c r="I135" s="54">
        <f t="shared" si="37"/>
        <v>8.0999999999999872</v>
      </c>
      <c r="J135" s="54">
        <f t="shared" si="38"/>
        <v>8.0999999999999872</v>
      </c>
      <c r="K135" s="54">
        <f t="shared" si="39"/>
        <v>8.0999999999999872</v>
      </c>
      <c r="L135" s="54">
        <f t="shared" si="40"/>
        <v>8.0999999999999872</v>
      </c>
      <c r="M135" s="54">
        <f t="shared" si="41"/>
        <v>20.820848056537159</v>
      </c>
      <c r="N135" s="54">
        <f t="shared" si="42"/>
        <v>8.0999999999999872</v>
      </c>
      <c r="O135" s="54">
        <f t="shared" si="43"/>
        <v>8.0999999999999872</v>
      </c>
      <c r="P135" s="54">
        <f t="shared" si="44"/>
        <v>20.900000000000059</v>
      </c>
      <c r="Q135" s="54">
        <f t="shared" si="45"/>
        <v>8.0999999999999872</v>
      </c>
      <c r="R135" s="54">
        <f t="shared" si="46"/>
        <v>17.856097560975613</v>
      </c>
      <c r="S135" s="54">
        <f t="shared" si="47"/>
        <v>8.0999999999999872</v>
      </c>
      <c r="T135" s="54">
        <f t="shared" si="48"/>
        <v>8.0999999999999872</v>
      </c>
      <c r="U135" s="54">
        <f t="shared" si="49"/>
        <v>8.0999999999999872</v>
      </c>
      <c r="V135" s="54">
        <f t="shared" si="50"/>
        <v>8.0999999999999872</v>
      </c>
      <c r="W135" s="54">
        <f t="shared" si="51"/>
        <v>8.0999999999999872</v>
      </c>
      <c r="X135" s="54">
        <f t="shared" si="52"/>
        <v>8.0999999999999872</v>
      </c>
      <c r="Y135" s="54">
        <f t="shared" si="53"/>
        <v>19.346943765281232</v>
      </c>
      <c r="Z135" s="54">
        <f t="shared" si="54"/>
        <v>8.0999999999999872</v>
      </c>
      <c r="AA135" s="54">
        <f t="shared" si="55"/>
        <v>20.845098039215756</v>
      </c>
      <c r="AB135" s="54">
        <f t="shared" si="56"/>
        <v>17.856097560975613</v>
      </c>
      <c r="AC135" s="54">
        <f t="shared" si="57"/>
        <v>8.0999999999999872</v>
      </c>
      <c r="AD135" s="54">
        <f t="shared" si="58"/>
        <v>19.890878754171339</v>
      </c>
      <c r="AF135" s="54"/>
      <c r="AG135" s="54"/>
      <c r="AI135" s="54">
        <f t="shared" si="59"/>
        <v>8.0999999999999872</v>
      </c>
      <c r="AJ135" s="54">
        <f t="shared" si="60"/>
        <v>131</v>
      </c>
    </row>
    <row r="136" spans="2:36" hidden="1" x14ac:dyDescent="0.25">
      <c r="B136" s="51"/>
      <c r="C136" s="55"/>
      <c r="D136" s="55"/>
      <c r="E136" s="54">
        <v>132</v>
      </c>
      <c r="F136" s="54">
        <f t="shared" si="34"/>
        <v>16.259701492537285</v>
      </c>
      <c r="G136" s="54">
        <f t="shared" si="35"/>
        <v>33.875675675675815</v>
      </c>
      <c r="H136" s="54">
        <f t="shared" si="36"/>
        <v>8.1999999999999869</v>
      </c>
      <c r="I136" s="54">
        <f t="shared" si="37"/>
        <v>8.1999999999999869</v>
      </c>
      <c r="J136" s="54">
        <f t="shared" si="38"/>
        <v>8.1999999999999869</v>
      </c>
      <c r="K136" s="54">
        <f t="shared" si="39"/>
        <v>8.1999999999999869</v>
      </c>
      <c r="L136" s="54">
        <f t="shared" si="40"/>
        <v>8.1999999999999869</v>
      </c>
      <c r="M136" s="54">
        <f t="shared" si="41"/>
        <v>20.92084805653716</v>
      </c>
      <c r="N136" s="54">
        <f t="shared" si="42"/>
        <v>8.1999999999999869</v>
      </c>
      <c r="O136" s="54">
        <f t="shared" si="43"/>
        <v>8.1999999999999869</v>
      </c>
      <c r="P136" s="54">
        <f t="shared" si="44"/>
        <v>21.00000000000006</v>
      </c>
      <c r="Q136" s="54">
        <f t="shared" si="45"/>
        <v>8.1999999999999869</v>
      </c>
      <c r="R136" s="54">
        <f t="shared" si="46"/>
        <v>17.956097560975614</v>
      </c>
      <c r="S136" s="54">
        <f t="shared" si="47"/>
        <v>8.1999999999999869</v>
      </c>
      <c r="T136" s="54">
        <f t="shared" si="48"/>
        <v>8.1999999999999869</v>
      </c>
      <c r="U136" s="54">
        <f t="shared" si="49"/>
        <v>8.1999999999999869</v>
      </c>
      <c r="V136" s="54">
        <f t="shared" si="50"/>
        <v>8.1999999999999869</v>
      </c>
      <c r="W136" s="54">
        <f t="shared" si="51"/>
        <v>8.1999999999999869</v>
      </c>
      <c r="X136" s="54">
        <f t="shared" si="52"/>
        <v>8.1999999999999869</v>
      </c>
      <c r="Y136" s="54">
        <f t="shared" si="53"/>
        <v>19.446943765281233</v>
      </c>
      <c r="Z136" s="54">
        <f t="shared" si="54"/>
        <v>8.1999999999999869</v>
      </c>
      <c r="AA136" s="54">
        <f t="shared" si="55"/>
        <v>20.945098039215758</v>
      </c>
      <c r="AB136" s="54">
        <f t="shared" si="56"/>
        <v>17.956097560975614</v>
      </c>
      <c r="AC136" s="54">
        <f t="shared" si="57"/>
        <v>8.1999999999999869</v>
      </c>
      <c r="AD136" s="54">
        <f t="shared" si="58"/>
        <v>19.990878754171341</v>
      </c>
      <c r="AF136" s="54"/>
      <c r="AG136" s="54"/>
      <c r="AI136" s="54">
        <f t="shared" si="59"/>
        <v>8.1999999999999869</v>
      </c>
      <c r="AJ136" s="54">
        <f t="shared" si="60"/>
        <v>132</v>
      </c>
    </row>
    <row r="137" spans="2:36" hidden="1" x14ac:dyDescent="0.25">
      <c r="B137" s="51"/>
      <c r="C137" s="55"/>
      <c r="D137" s="55"/>
      <c r="E137" s="54">
        <v>133</v>
      </c>
      <c r="F137" s="54">
        <f t="shared" si="34"/>
        <v>16.359701492537287</v>
      </c>
      <c r="G137" s="54">
        <f t="shared" si="35"/>
        <v>33.975675675675816</v>
      </c>
      <c r="H137" s="54">
        <f t="shared" si="36"/>
        <v>8.2999999999999865</v>
      </c>
      <c r="I137" s="54">
        <f t="shared" si="37"/>
        <v>8.2999999999999865</v>
      </c>
      <c r="J137" s="54">
        <f t="shared" si="38"/>
        <v>8.2999999999999865</v>
      </c>
      <c r="K137" s="54">
        <f t="shared" si="39"/>
        <v>8.2999999999999865</v>
      </c>
      <c r="L137" s="54">
        <f t="shared" si="40"/>
        <v>8.2999999999999865</v>
      </c>
      <c r="M137" s="54">
        <f t="shared" si="41"/>
        <v>21.020848056537162</v>
      </c>
      <c r="N137" s="54">
        <f t="shared" si="42"/>
        <v>8.2999999999999865</v>
      </c>
      <c r="O137" s="54">
        <f t="shared" si="43"/>
        <v>8.2999999999999865</v>
      </c>
      <c r="P137" s="54">
        <f t="shared" si="44"/>
        <v>21.100000000000062</v>
      </c>
      <c r="Q137" s="54">
        <f t="shared" si="45"/>
        <v>8.2999999999999865</v>
      </c>
      <c r="R137" s="54">
        <f t="shared" si="46"/>
        <v>18.056097560975616</v>
      </c>
      <c r="S137" s="54">
        <f t="shared" si="47"/>
        <v>8.2999999999999865</v>
      </c>
      <c r="T137" s="54">
        <f t="shared" si="48"/>
        <v>8.2999999999999865</v>
      </c>
      <c r="U137" s="54">
        <f t="shared" si="49"/>
        <v>8.2999999999999865</v>
      </c>
      <c r="V137" s="54">
        <f t="shared" si="50"/>
        <v>8.2999999999999865</v>
      </c>
      <c r="W137" s="54">
        <f t="shared" si="51"/>
        <v>8.2999999999999865</v>
      </c>
      <c r="X137" s="54">
        <f t="shared" si="52"/>
        <v>8.2999999999999865</v>
      </c>
      <c r="Y137" s="54">
        <f t="shared" si="53"/>
        <v>19.546943765281235</v>
      </c>
      <c r="Z137" s="54">
        <f t="shared" si="54"/>
        <v>8.2999999999999865</v>
      </c>
      <c r="AA137" s="54">
        <f t="shared" si="55"/>
        <v>21.045098039215759</v>
      </c>
      <c r="AB137" s="54">
        <f t="shared" si="56"/>
        <v>18.056097560975616</v>
      </c>
      <c r="AC137" s="54">
        <f t="shared" si="57"/>
        <v>8.2999999999999865</v>
      </c>
      <c r="AD137" s="54">
        <f t="shared" si="58"/>
        <v>20.090878754171342</v>
      </c>
      <c r="AF137" s="54"/>
      <c r="AG137" s="54"/>
      <c r="AI137" s="54">
        <f t="shared" si="59"/>
        <v>8.2999999999999865</v>
      </c>
      <c r="AJ137" s="54">
        <f t="shared" si="60"/>
        <v>133</v>
      </c>
    </row>
    <row r="138" spans="2:36" hidden="1" x14ac:dyDescent="0.25">
      <c r="B138" s="51"/>
      <c r="C138" s="55"/>
      <c r="D138" s="55"/>
      <c r="E138" s="54">
        <v>134</v>
      </c>
      <c r="F138" s="54">
        <f t="shared" si="34"/>
        <v>16.459701492537288</v>
      </c>
      <c r="G138" s="54">
        <f t="shared" si="35"/>
        <v>34.075675675675818</v>
      </c>
      <c r="H138" s="54">
        <f t="shared" si="36"/>
        <v>8.3999999999999861</v>
      </c>
      <c r="I138" s="54">
        <f t="shared" si="37"/>
        <v>8.3999999999999861</v>
      </c>
      <c r="J138" s="54">
        <f t="shared" si="38"/>
        <v>8.3999999999999861</v>
      </c>
      <c r="K138" s="54">
        <f t="shared" si="39"/>
        <v>8.3999999999999861</v>
      </c>
      <c r="L138" s="54">
        <f t="shared" si="40"/>
        <v>8.3999999999999861</v>
      </c>
      <c r="M138" s="54">
        <f t="shared" si="41"/>
        <v>21.120848056537163</v>
      </c>
      <c r="N138" s="54">
        <f t="shared" si="42"/>
        <v>8.3999999999999861</v>
      </c>
      <c r="O138" s="54">
        <f t="shared" si="43"/>
        <v>8.3999999999999861</v>
      </c>
      <c r="P138" s="54">
        <f t="shared" si="44"/>
        <v>21.200000000000063</v>
      </c>
      <c r="Q138" s="54">
        <f t="shared" si="45"/>
        <v>8.3999999999999861</v>
      </c>
      <c r="R138" s="54">
        <f t="shared" si="46"/>
        <v>18.156097560975617</v>
      </c>
      <c r="S138" s="54">
        <f t="shared" si="47"/>
        <v>8.3999999999999861</v>
      </c>
      <c r="T138" s="54">
        <f t="shared" si="48"/>
        <v>8.3999999999999861</v>
      </c>
      <c r="U138" s="54">
        <f t="shared" si="49"/>
        <v>8.3999999999999861</v>
      </c>
      <c r="V138" s="54">
        <f t="shared" si="50"/>
        <v>8.3999999999999861</v>
      </c>
      <c r="W138" s="54">
        <f t="shared" si="51"/>
        <v>8.3999999999999861</v>
      </c>
      <c r="X138" s="54">
        <f t="shared" si="52"/>
        <v>8.3999999999999861</v>
      </c>
      <c r="Y138" s="54">
        <f t="shared" si="53"/>
        <v>19.646943765281236</v>
      </c>
      <c r="Z138" s="54">
        <f t="shared" si="54"/>
        <v>8.3999999999999861</v>
      </c>
      <c r="AA138" s="54">
        <f t="shared" si="55"/>
        <v>21.14509803921576</v>
      </c>
      <c r="AB138" s="54">
        <f t="shared" si="56"/>
        <v>18.156097560975617</v>
      </c>
      <c r="AC138" s="54">
        <f t="shared" si="57"/>
        <v>8.3999999999999861</v>
      </c>
      <c r="AD138" s="54">
        <f t="shared" si="58"/>
        <v>20.190878754171344</v>
      </c>
      <c r="AF138" s="54"/>
      <c r="AG138" s="54"/>
      <c r="AI138" s="54">
        <f t="shared" si="59"/>
        <v>8.3999999999999861</v>
      </c>
      <c r="AJ138" s="54">
        <f t="shared" si="60"/>
        <v>134</v>
      </c>
    </row>
    <row r="139" spans="2:36" hidden="1" x14ac:dyDescent="0.25">
      <c r="B139" s="51"/>
      <c r="C139" s="55"/>
      <c r="D139" s="55"/>
      <c r="E139" s="54">
        <v>135</v>
      </c>
      <c r="F139" s="54">
        <f t="shared" si="34"/>
        <v>16.55970149253729</v>
      </c>
      <c r="G139" s="54">
        <f t="shared" si="35"/>
        <v>34.175675675675819</v>
      </c>
      <c r="H139" s="54">
        <f t="shared" si="36"/>
        <v>8.4999999999999858</v>
      </c>
      <c r="I139" s="54">
        <f t="shared" si="37"/>
        <v>8.4999999999999858</v>
      </c>
      <c r="J139" s="54">
        <f t="shared" si="38"/>
        <v>8.4999999999999858</v>
      </c>
      <c r="K139" s="54">
        <f t="shared" si="39"/>
        <v>8.4999999999999858</v>
      </c>
      <c r="L139" s="54">
        <f t="shared" si="40"/>
        <v>8.4999999999999858</v>
      </c>
      <c r="M139" s="54">
        <f t="shared" si="41"/>
        <v>21.220848056537164</v>
      </c>
      <c r="N139" s="54">
        <f t="shared" si="42"/>
        <v>8.4999999999999858</v>
      </c>
      <c r="O139" s="54">
        <f t="shared" si="43"/>
        <v>8.4999999999999858</v>
      </c>
      <c r="P139" s="54">
        <f t="shared" si="44"/>
        <v>21.300000000000065</v>
      </c>
      <c r="Q139" s="54">
        <f t="shared" si="45"/>
        <v>8.4999999999999858</v>
      </c>
      <c r="R139" s="54">
        <f t="shared" si="46"/>
        <v>18.256097560975618</v>
      </c>
      <c r="S139" s="54">
        <f t="shared" si="47"/>
        <v>8.4999999999999858</v>
      </c>
      <c r="T139" s="54">
        <f t="shared" si="48"/>
        <v>8.4999999999999858</v>
      </c>
      <c r="U139" s="54">
        <f t="shared" si="49"/>
        <v>8.4999999999999858</v>
      </c>
      <c r="V139" s="54">
        <f t="shared" si="50"/>
        <v>8.4999999999999858</v>
      </c>
      <c r="W139" s="54">
        <f t="shared" si="51"/>
        <v>8.4999999999999858</v>
      </c>
      <c r="X139" s="54">
        <f t="shared" si="52"/>
        <v>8.4999999999999858</v>
      </c>
      <c r="Y139" s="54">
        <f t="shared" si="53"/>
        <v>19.746943765281237</v>
      </c>
      <c r="Z139" s="54">
        <f t="shared" si="54"/>
        <v>8.4999999999999858</v>
      </c>
      <c r="AA139" s="54">
        <f t="shared" si="55"/>
        <v>21.245098039215762</v>
      </c>
      <c r="AB139" s="54">
        <f t="shared" si="56"/>
        <v>18.256097560975618</v>
      </c>
      <c r="AC139" s="54">
        <f t="shared" si="57"/>
        <v>8.4999999999999858</v>
      </c>
      <c r="AD139" s="54">
        <f t="shared" si="58"/>
        <v>20.290878754171345</v>
      </c>
      <c r="AF139" s="54"/>
      <c r="AG139" s="54"/>
      <c r="AI139" s="54">
        <f t="shared" si="59"/>
        <v>8.4999999999999858</v>
      </c>
      <c r="AJ139" s="54">
        <f t="shared" si="60"/>
        <v>135</v>
      </c>
    </row>
    <row r="140" spans="2:36" hidden="1" x14ac:dyDescent="0.25">
      <c r="B140" s="51"/>
      <c r="C140" s="55"/>
      <c r="D140" s="55"/>
      <c r="E140" s="54">
        <v>136</v>
      </c>
      <c r="F140" s="54">
        <f t="shared" si="34"/>
        <v>16.659701492537291</v>
      </c>
      <c r="G140" s="54">
        <f t="shared" si="35"/>
        <v>34.275675675675821</v>
      </c>
      <c r="H140" s="54">
        <f t="shared" si="36"/>
        <v>8.5999999999999854</v>
      </c>
      <c r="I140" s="54">
        <f t="shared" si="37"/>
        <v>8.5999999999999854</v>
      </c>
      <c r="J140" s="54">
        <f t="shared" si="38"/>
        <v>8.5999999999999854</v>
      </c>
      <c r="K140" s="54">
        <f t="shared" si="39"/>
        <v>8.5999999999999854</v>
      </c>
      <c r="L140" s="54">
        <f t="shared" si="40"/>
        <v>8.5999999999999854</v>
      </c>
      <c r="M140" s="54">
        <f t="shared" si="41"/>
        <v>21.320848056537166</v>
      </c>
      <c r="N140" s="54">
        <f t="shared" si="42"/>
        <v>8.5999999999999854</v>
      </c>
      <c r="O140" s="54">
        <f t="shared" si="43"/>
        <v>8.5999999999999854</v>
      </c>
      <c r="P140" s="54">
        <f t="shared" si="44"/>
        <v>21.400000000000066</v>
      </c>
      <c r="Q140" s="54">
        <f t="shared" si="45"/>
        <v>8.5999999999999854</v>
      </c>
      <c r="R140" s="54">
        <f t="shared" si="46"/>
        <v>18.35609756097562</v>
      </c>
      <c r="S140" s="54">
        <f t="shared" si="47"/>
        <v>8.5999999999999854</v>
      </c>
      <c r="T140" s="54">
        <f t="shared" si="48"/>
        <v>8.5999999999999854</v>
      </c>
      <c r="U140" s="54">
        <f t="shared" si="49"/>
        <v>8.5999999999999854</v>
      </c>
      <c r="V140" s="54">
        <f t="shared" si="50"/>
        <v>8.5999999999999854</v>
      </c>
      <c r="W140" s="54">
        <f t="shared" si="51"/>
        <v>8.5999999999999854</v>
      </c>
      <c r="X140" s="54">
        <f t="shared" si="52"/>
        <v>8.5999999999999854</v>
      </c>
      <c r="Y140" s="54">
        <f t="shared" si="53"/>
        <v>19.846943765281239</v>
      </c>
      <c r="Z140" s="54">
        <f t="shared" si="54"/>
        <v>8.5999999999999854</v>
      </c>
      <c r="AA140" s="54">
        <f t="shared" si="55"/>
        <v>21.345098039215763</v>
      </c>
      <c r="AB140" s="54">
        <f t="shared" si="56"/>
        <v>18.35609756097562</v>
      </c>
      <c r="AC140" s="54">
        <f t="shared" si="57"/>
        <v>8.5999999999999854</v>
      </c>
      <c r="AD140" s="54">
        <f t="shared" si="58"/>
        <v>20.390878754171347</v>
      </c>
      <c r="AF140" s="54"/>
      <c r="AG140" s="54"/>
      <c r="AI140" s="54">
        <f t="shared" si="59"/>
        <v>8.5999999999999854</v>
      </c>
      <c r="AJ140" s="54">
        <f t="shared" si="60"/>
        <v>136</v>
      </c>
    </row>
    <row r="141" spans="2:36" hidden="1" x14ac:dyDescent="0.25">
      <c r="B141" s="51"/>
      <c r="C141" s="55"/>
      <c r="D141" s="55"/>
      <c r="E141" s="54">
        <v>137</v>
      </c>
      <c r="F141" s="54">
        <f t="shared" si="34"/>
        <v>16.759701492537292</v>
      </c>
      <c r="G141" s="54">
        <f t="shared" si="35"/>
        <v>34.375675675675822</v>
      </c>
      <c r="H141" s="54">
        <f t="shared" si="36"/>
        <v>8.6999999999999851</v>
      </c>
      <c r="I141" s="54">
        <f t="shared" si="37"/>
        <v>8.6999999999999851</v>
      </c>
      <c r="J141" s="54">
        <f t="shared" si="38"/>
        <v>8.6999999999999851</v>
      </c>
      <c r="K141" s="54">
        <f t="shared" si="39"/>
        <v>8.6999999999999851</v>
      </c>
      <c r="L141" s="54">
        <f t="shared" si="40"/>
        <v>8.6999999999999851</v>
      </c>
      <c r="M141" s="54">
        <f t="shared" si="41"/>
        <v>21.420848056537167</v>
      </c>
      <c r="N141" s="54">
        <f t="shared" si="42"/>
        <v>8.6999999999999851</v>
      </c>
      <c r="O141" s="54">
        <f t="shared" si="43"/>
        <v>8.6999999999999851</v>
      </c>
      <c r="P141" s="54">
        <f t="shared" si="44"/>
        <v>21.500000000000068</v>
      </c>
      <c r="Q141" s="54">
        <f t="shared" si="45"/>
        <v>8.6999999999999851</v>
      </c>
      <c r="R141" s="54">
        <f t="shared" si="46"/>
        <v>18.456097560975621</v>
      </c>
      <c r="S141" s="54">
        <f t="shared" si="47"/>
        <v>8.6999999999999851</v>
      </c>
      <c r="T141" s="54">
        <f t="shared" si="48"/>
        <v>8.6999999999999851</v>
      </c>
      <c r="U141" s="54">
        <f t="shared" si="49"/>
        <v>8.6999999999999851</v>
      </c>
      <c r="V141" s="54">
        <f t="shared" si="50"/>
        <v>8.6999999999999851</v>
      </c>
      <c r="W141" s="54">
        <f t="shared" si="51"/>
        <v>8.6999999999999851</v>
      </c>
      <c r="X141" s="54">
        <f t="shared" si="52"/>
        <v>8.6999999999999851</v>
      </c>
      <c r="Y141" s="54">
        <f t="shared" si="53"/>
        <v>19.94694376528124</v>
      </c>
      <c r="Z141" s="54">
        <f t="shared" si="54"/>
        <v>8.6999999999999851</v>
      </c>
      <c r="AA141" s="54">
        <f t="shared" si="55"/>
        <v>21.445098039215765</v>
      </c>
      <c r="AB141" s="54">
        <f t="shared" si="56"/>
        <v>18.456097560975621</v>
      </c>
      <c r="AC141" s="54">
        <f t="shared" si="57"/>
        <v>8.6999999999999851</v>
      </c>
      <c r="AD141" s="54">
        <f t="shared" si="58"/>
        <v>20.490878754171348</v>
      </c>
      <c r="AF141" s="54"/>
      <c r="AG141" s="54"/>
      <c r="AI141" s="54">
        <f t="shared" si="59"/>
        <v>8.6999999999999851</v>
      </c>
      <c r="AJ141" s="54">
        <f t="shared" si="60"/>
        <v>137</v>
      </c>
    </row>
    <row r="142" spans="2:36" hidden="1" x14ac:dyDescent="0.25">
      <c r="B142" s="51"/>
      <c r="C142" s="55"/>
      <c r="D142" s="55"/>
      <c r="E142" s="54">
        <v>138</v>
      </c>
      <c r="F142" s="54">
        <f t="shared" si="34"/>
        <v>16.859701492537294</v>
      </c>
      <c r="G142" s="54">
        <f t="shared" si="35"/>
        <v>34.475675675675824</v>
      </c>
      <c r="H142" s="54">
        <f t="shared" si="36"/>
        <v>8.7999999999999847</v>
      </c>
      <c r="I142" s="54">
        <f t="shared" si="37"/>
        <v>8.7999999999999847</v>
      </c>
      <c r="J142" s="54">
        <f t="shared" si="38"/>
        <v>8.7999999999999847</v>
      </c>
      <c r="K142" s="54">
        <f t="shared" si="39"/>
        <v>8.7999999999999847</v>
      </c>
      <c r="L142" s="54">
        <f t="shared" si="40"/>
        <v>8.7999999999999847</v>
      </c>
      <c r="M142" s="54">
        <f t="shared" si="41"/>
        <v>21.520848056537169</v>
      </c>
      <c r="N142" s="54">
        <f t="shared" si="42"/>
        <v>8.7999999999999847</v>
      </c>
      <c r="O142" s="54">
        <f t="shared" si="43"/>
        <v>8.7999999999999847</v>
      </c>
      <c r="P142" s="54">
        <f t="shared" si="44"/>
        <v>21.600000000000069</v>
      </c>
      <c r="Q142" s="54">
        <f t="shared" si="45"/>
        <v>8.7999999999999847</v>
      </c>
      <c r="R142" s="54">
        <f t="shared" si="46"/>
        <v>18.556097560975623</v>
      </c>
      <c r="S142" s="54">
        <f t="shared" si="47"/>
        <v>8.7999999999999847</v>
      </c>
      <c r="T142" s="54">
        <f t="shared" si="48"/>
        <v>8.7999999999999847</v>
      </c>
      <c r="U142" s="54">
        <f t="shared" si="49"/>
        <v>8.7999999999999847</v>
      </c>
      <c r="V142" s="54">
        <f t="shared" si="50"/>
        <v>8.7999999999999847</v>
      </c>
      <c r="W142" s="54">
        <f t="shared" si="51"/>
        <v>8.7999999999999847</v>
      </c>
      <c r="X142" s="54">
        <f t="shared" si="52"/>
        <v>8.7999999999999847</v>
      </c>
      <c r="Y142" s="54">
        <f t="shared" si="53"/>
        <v>20.046943765281242</v>
      </c>
      <c r="Z142" s="54">
        <f t="shared" si="54"/>
        <v>8.7999999999999847</v>
      </c>
      <c r="AA142" s="54">
        <f t="shared" si="55"/>
        <v>21.545098039215766</v>
      </c>
      <c r="AB142" s="54">
        <f t="shared" si="56"/>
        <v>18.556097560975623</v>
      </c>
      <c r="AC142" s="54">
        <f t="shared" si="57"/>
        <v>8.7999999999999847</v>
      </c>
      <c r="AD142" s="54">
        <f t="shared" si="58"/>
        <v>20.590878754171349</v>
      </c>
      <c r="AF142" s="54"/>
      <c r="AG142" s="54"/>
      <c r="AI142" s="54">
        <f t="shared" si="59"/>
        <v>8.7999999999999847</v>
      </c>
      <c r="AJ142" s="54">
        <f t="shared" si="60"/>
        <v>138</v>
      </c>
    </row>
    <row r="143" spans="2:36" hidden="1" x14ac:dyDescent="0.25">
      <c r="B143" s="51"/>
      <c r="C143" s="51"/>
      <c r="D143" s="51"/>
      <c r="E143" s="54">
        <v>139</v>
      </c>
      <c r="F143" s="54">
        <f t="shared" si="34"/>
        <v>16.959701492537295</v>
      </c>
      <c r="G143" s="54">
        <f t="shared" si="35"/>
        <v>34.575675675675825</v>
      </c>
      <c r="H143" s="54">
        <f t="shared" si="36"/>
        <v>8.8999999999999844</v>
      </c>
      <c r="I143" s="54">
        <f t="shared" si="37"/>
        <v>8.8999999999999844</v>
      </c>
      <c r="J143" s="54">
        <f t="shared" si="38"/>
        <v>8.8999999999999844</v>
      </c>
      <c r="K143" s="54">
        <f t="shared" si="39"/>
        <v>8.8999999999999844</v>
      </c>
      <c r="L143" s="54">
        <f t="shared" si="40"/>
        <v>8.8999999999999844</v>
      </c>
      <c r="M143" s="54">
        <f t="shared" si="41"/>
        <v>21.62084805653717</v>
      </c>
      <c r="N143" s="54">
        <f t="shared" si="42"/>
        <v>8.8999999999999844</v>
      </c>
      <c r="O143" s="54">
        <f t="shared" si="43"/>
        <v>8.8999999999999844</v>
      </c>
      <c r="P143" s="54">
        <f t="shared" si="44"/>
        <v>21.70000000000007</v>
      </c>
      <c r="Q143" s="54">
        <f t="shared" si="45"/>
        <v>8.8999999999999844</v>
      </c>
      <c r="R143" s="54">
        <f t="shared" si="46"/>
        <v>18.656097560975624</v>
      </c>
      <c r="S143" s="54">
        <f t="shared" si="47"/>
        <v>8.8999999999999844</v>
      </c>
      <c r="T143" s="54">
        <f t="shared" si="48"/>
        <v>8.8999999999999844</v>
      </c>
      <c r="U143" s="54">
        <f t="shared" si="49"/>
        <v>8.8999999999999844</v>
      </c>
      <c r="V143" s="54">
        <f t="shared" si="50"/>
        <v>8.8999999999999844</v>
      </c>
      <c r="W143" s="54">
        <f t="shared" si="51"/>
        <v>8.8999999999999844</v>
      </c>
      <c r="X143" s="54">
        <f t="shared" si="52"/>
        <v>8.8999999999999844</v>
      </c>
      <c r="Y143" s="54">
        <f t="shared" si="53"/>
        <v>20.146943765281243</v>
      </c>
      <c r="Z143" s="54">
        <f t="shared" si="54"/>
        <v>8.8999999999999844</v>
      </c>
      <c r="AA143" s="54">
        <f t="shared" si="55"/>
        <v>21.645098039215767</v>
      </c>
      <c r="AB143" s="54">
        <f t="shared" si="56"/>
        <v>18.656097560975624</v>
      </c>
      <c r="AC143" s="54">
        <f t="shared" si="57"/>
        <v>8.8999999999999844</v>
      </c>
      <c r="AD143" s="54">
        <f t="shared" si="58"/>
        <v>20.690878754171351</v>
      </c>
      <c r="AF143" s="54"/>
      <c r="AG143" s="54"/>
      <c r="AI143" s="54">
        <f t="shared" si="59"/>
        <v>8.8999999999999844</v>
      </c>
      <c r="AJ143" s="54">
        <f t="shared" si="60"/>
        <v>139</v>
      </c>
    </row>
    <row r="144" spans="2:36" hidden="1" x14ac:dyDescent="0.25">
      <c r="B144" s="51"/>
      <c r="C144" s="51"/>
      <c r="D144" s="51"/>
      <c r="E144" s="54">
        <v>140</v>
      </c>
      <c r="F144" s="54">
        <f t="shared" si="34"/>
        <v>17.059701492537297</v>
      </c>
      <c r="G144" s="54">
        <f t="shared" si="35"/>
        <v>34.675675675675826</v>
      </c>
      <c r="H144" s="54">
        <f t="shared" si="36"/>
        <v>8.999999999999984</v>
      </c>
      <c r="I144" s="54">
        <f t="shared" si="37"/>
        <v>8.999999999999984</v>
      </c>
      <c r="J144" s="54">
        <f t="shared" si="38"/>
        <v>8.999999999999984</v>
      </c>
      <c r="K144" s="54">
        <f t="shared" si="39"/>
        <v>8.999999999999984</v>
      </c>
      <c r="L144" s="54">
        <f t="shared" si="40"/>
        <v>8.999999999999984</v>
      </c>
      <c r="M144" s="54">
        <f t="shared" si="41"/>
        <v>21.720848056537172</v>
      </c>
      <c r="N144" s="54">
        <f t="shared" si="42"/>
        <v>8.999999999999984</v>
      </c>
      <c r="O144" s="54">
        <f t="shared" si="43"/>
        <v>8.999999999999984</v>
      </c>
      <c r="P144" s="54">
        <f t="shared" si="44"/>
        <v>21.800000000000072</v>
      </c>
      <c r="Q144" s="54">
        <f t="shared" si="45"/>
        <v>8.999999999999984</v>
      </c>
      <c r="R144" s="54">
        <f t="shared" si="46"/>
        <v>18.756097560975626</v>
      </c>
      <c r="S144" s="54">
        <f t="shared" si="47"/>
        <v>8.999999999999984</v>
      </c>
      <c r="T144" s="54">
        <f t="shared" si="48"/>
        <v>8.999999999999984</v>
      </c>
      <c r="U144" s="54">
        <f t="shared" si="49"/>
        <v>8.999999999999984</v>
      </c>
      <c r="V144" s="54">
        <f t="shared" si="50"/>
        <v>8.999999999999984</v>
      </c>
      <c r="W144" s="54">
        <f t="shared" si="51"/>
        <v>8.999999999999984</v>
      </c>
      <c r="X144" s="54">
        <f t="shared" si="52"/>
        <v>8.999999999999984</v>
      </c>
      <c r="Y144" s="54">
        <f t="shared" si="53"/>
        <v>20.246943765281245</v>
      </c>
      <c r="Z144" s="54">
        <f t="shared" si="54"/>
        <v>8.999999999999984</v>
      </c>
      <c r="AA144" s="54">
        <f t="shared" si="55"/>
        <v>21.745098039215769</v>
      </c>
      <c r="AB144" s="54">
        <f t="shared" si="56"/>
        <v>18.756097560975626</v>
      </c>
      <c r="AC144" s="54">
        <f t="shared" si="57"/>
        <v>8.999999999999984</v>
      </c>
      <c r="AD144" s="54">
        <f t="shared" si="58"/>
        <v>20.790878754171352</v>
      </c>
      <c r="AF144" s="54"/>
      <c r="AG144" s="54"/>
      <c r="AI144" s="54">
        <f t="shared" si="59"/>
        <v>8.999999999999984</v>
      </c>
      <c r="AJ144" s="54">
        <f t="shared" si="60"/>
        <v>140</v>
      </c>
    </row>
    <row r="145" spans="2:36" hidden="1" x14ac:dyDescent="0.25">
      <c r="B145" s="51"/>
      <c r="C145" s="51"/>
      <c r="D145" s="51"/>
      <c r="E145" s="54">
        <v>141</v>
      </c>
      <c r="F145" s="54">
        <f t="shared" si="34"/>
        <v>17.159701492537298</v>
      </c>
      <c r="G145" s="54">
        <f t="shared" si="35"/>
        <v>34.775675675675828</v>
      </c>
      <c r="H145" s="54">
        <f t="shared" si="36"/>
        <v>9.0999999999999837</v>
      </c>
      <c r="I145" s="54">
        <f t="shared" si="37"/>
        <v>9.0999999999999837</v>
      </c>
      <c r="J145" s="54">
        <f t="shared" si="38"/>
        <v>9.0999999999999837</v>
      </c>
      <c r="K145" s="54">
        <f t="shared" si="39"/>
        <v>9.0999999999999837</v>
      </c>
      <c r="L145" s="54">
        <f t="shared" si="40"/>
        <v>9.0999999999999837</v>
      </c>
      <c r="M145" s="54">
        <f t="shared" si="41"/>
        <v>21.820848056537173</v>
      </c>
      <c r="N145" s="54">
        <f t="shared" si="42"/>
        <v>9.0999999999999837</v>
      </c>
      <c r="O145" s="54">
        <f t="shared" si="43"/>
        <v>9.0999999999999837</v>
      </c>
      <c r="P145" s="54">
        <f t="shared" si="44"/>
        <v>21.900000000000073</v>
      </c>
      <c r="Q145" s="54">
        <f t="shared" si="45"/>
        <v>9.0999999999999837</v>
      </c>
      <c r="R145" s="54">
        <f t="shared" si="46"/>
        <v>18.856097560975627</v>
      </c>
      <c r="S145" s="54">
        <f t="shared" si="47"/>
        <v>9.0999999999999837</v>
      </c>
      <c r="T145" s="54">
        <f t="shared" si="48"/>
        <v>9.0999999999999837</v>
      </c>
      <c r="U145" s="54">
        <f t="shared" si="49"/>
        <v>9.0999999999999837</v>
      </c>
      <c r="V145" s="54">
        <f t="shared" si="50"/>
        <v>9.0999999999999837</v>
      </c>
      <c r="W145" s="54">
        <f t="shared" si="51"/>
        <v>9.0999999999999837</v>
      </c>
      <c r="X145" s="54">
        <f t="shared" si="52"/>
        <v>9.0999999999999837</v>
      </c>
      <c r="Y145" s="54">
        <f t="shared" si="53"/>
        <v>20.346943765281246</v>
      </c>
      <c r="Z145" s="54">
        <f t="shared" si="54"/>
        <v>9.0999999999999837</v>
      </c>
      <c r="AA145" s="54">
        <f t="shared" si="55"/>
        <v>21.84509803921577</v>
      </c>
      <c r="AB145" s="54">
        <f t="shared" si="56"/>
        <v>18.856097560975627</v>
      </c>
      <c r="AC145" s="54">
        <f t="shared" si="57"/>
        <v>9.0999999999999837</v>
      </c>
      <c r="AD145" s="54">
        <f t="shared" si="58"/>
        <v>20.890878754171354</v>
      </c>
      <c r="AF145" s="54"/>
      <c r="AG145" s="54"/>
      <c r="AI145" s="54">
        <f t="shared" si="59"/>
        <v>9.0999999999999837</v>
      </c>
      <c r="AJ145" s="54">
        <f t="shared" si="60"/>
        <v>141</v>
      </c>
    </row>
    <row r="146" spans="2:36" hidden="1" x14ac:dyDescent="0.25">
      <c r="B146" s="51"/>
      <c r="C146" s="51"/>
      <c r="D146" s="51"/>
      <c r="E146" s="54">
        <v>142</v>
      </c>
      <c r="F146" s="54">
        <f t="shared" si="34"/>
        <v>17.2597014925373</v>
      </c>
      <c r="G146" s="54">
        <f t="shared" si="35"/>
        <v>34.875675675675829</v>
      </c>
      <c r="H146" s="54">
        <f t="shared" si="36"/>
        <v>9.1999999999999833</v>
      </c>
      <c r="I146" s="54">
        <f t="shared" si="37"/>
        <v>9.1999999999999833</v>
      </c>
      <c r="J146" s="54">
        <f t="shared" si="38"/>
        <v>9.1999999999999833</v>
      </c>
      <c r="K146" s="54">
        <f t="shared" si="39"/>
        <v>9.1999999999999833</v>
      </c>
      <c r="L146" s="54">
        <f t="shared" si="40"/>
        <v>9.1999999999999833</v>
      </c>
      <c r="M146" s="54">
        <f t="shared" si="41"/>
        <v>21.920848056537174</v>
      </c>
      <c r="N146" s="54">
        <f t="shared" si="42"/>
        <v>9.1999999999999833</v>
      </c>
      <c r="O146" s="54">
        <f t="shared" si="43"/>
        <v>9.1999999999999833</v>
      </c>
      <c r="P146" s="54">
        <f t="shared" si="44"/>
        <v>22.000000000000075</v>
      </c>
      <c r="Q146" s="54">
        <f t="shared" si="45"/>
        <v>9.1999999999999833</v>
      </c>
      <c r="R146" s="54">
        <f t="shared" si="46"/>
        <v>18.956097560975628</v>
      </c>
      <c r="S146" s="54">
        <f t="shared" si="47"/>
        <v>9.1999999999999833</v>
      </c>
      <c r="T146" s="54">
        <f t="shared" si="48"/>
        <v>9.1999999999999833</v>
      </c>
      <c r="U146" s="54">
        <f t="shared" si="49"/>
        <v>9.1999999999999833</v>
      </c>
      <c r="V146" s="54">
        <f t="shared" si="50"/>
        <v>9.1999999999999833</v>
      </c>
      <c r="W146" s="54">
        <f t="shared" si="51"/>
        <v>9.1999999999999833</v>
      </c>
      <c r="X146" s="54">
        <f t="shared" si="52"/>
        <v>9.1999999999999833</v>
      </c>
      <c r="Y146" s="54">
        <f t="shared" si="53"/>
        <v>20.446943765281247</v>
      </c>
      <c r="Z146" s="54">
        <f t="shared" si="54"/>
        <v>9.1999999999999833</v>
      </c>
      <c r="AA146" s="54">
        <f t="shared" si="55"/>
        <v>21.945098039215772</v>
      </c>
      <c r="AB146" s="54">
        <f t="shared" si="56"/>
        <v>18.956097560975628</v>
      </c>
      <c r="AC146" s="54">
        <f t="shared" si="57"/>
        <v>9.1999999999999833</v>
      </c>
      <c r="AD146" s="54">
        <f t="shared" si="58"/>
        <v>20.990878754171355</v>
      </c>
      <c r="AF146" s="54"/>
      <c r="AG146" s="54"/>
      <c r="AI146" s="54">
        <f t="shared" si="59"/>
        <v>9.1999999999999833</v>
      </c>
      <c r="AJ146" s="54">
        <f t="shared" si="60"/>
        <v>142</v>
      </c>
    </row>
    <row r="147" spans="2:36" hidden="1" x14ac:dyDescent="0.25">
      <c r="B147" s="51"/>
      <c r="C147" s="51"/>
      <c r="D147" s="51"/>
      <c r="E147" s="54">
        <v>143</v>
      </c>
      <c r="F147" s="54">
        <f t="shared" si="34"/>
        <v>17.359701492537301</v>
      </c>
      <c r="G147" s="54">
        <f t="shared" si="35"/>
        <v>34.975675675675831</v>
      </c>
      <c r="H147" s="54">
        <f t="shared" si="36"/>
        <v>9.2999999999999829</v>
      </c>
      <c r="I147" s="54">
        <f t="shared" si="37"/>
        <v>9.2999999999999829</v>
      </c>
      <c r="J147" s="54">
        <f t="shared" si="38"/>
        <v>9.2999999999999829</v>
      </c>
      <c r="K147" s="54">
        <f t="shared" si="39"/>
        <v>9.2999999999999829</v>
      </c>
      <c r="L147" s="54">
        <f t="shared" si="40"/>
        <v>9.2999999999999829</v>
      </c>
      <c r="M147" s="54">
        <f t="shared" si="41"/>
        <v>22.020848056537176</v>
      </c>
      <c r="N147" s="54">
        <f t="shared" si="42"/>
        <v>9.2999999999999829</v>
      </c>
      <c r="O147" s="54">
        <f t="shared" si="43"/>
        <v>9.2999999999999829</v>
      </c>
      <c r="P147" s="54">
        <f t="shared" si="44"/>
        <v>22.100000000000076</v>
      </c>
      <c r="Q147" s="54">
        <f t="shared" si="45"/>
        <v>9.2999999999999829</v>
      </c>
      <c r="R147" s="54">
        <f t="shared" si="46"/>
        <v>19.05609756097563</v>
      </c>
      <c r="S147" s="54">
        <f t="shared" si="47"/>
        <v>9.2999999999999829</v>
      </c>
      <c r="T147" s="54">
        <f t="shared" si="48"/>
        <v>9.2999999999999829</v>
      </c>
      <c r="U147" s="54">
        <f t="shared" si="49"/>
        <v>9.2999999999999829</v>
      </c>
      <c r="V147" s="54">
        <f t="shared" si="50"/>
        <v>9.2999999999999829</v>
      </c>
      <c r="W147" s="54">
        <f t="shared" si="51"/>
        <v>9.2999999999999829</v>
      </c>
      <c r="X147" s="54">
        <f t="shared" si="52"/>
        <v>9.2999999999999829</v>
      </c>
      <c r="Y147" s="54">
        <f t="shared" si="53"/>
        <v>20.546943765281249</v>
      </c>
      <c r="Z147" s="54">
        <f t="shared" si="54"/>
        <v>9.2999999999999829</v>
      </c>
      <c r="AA147" s="54">
        <f t="shared" si="55"/>
        <v>22.045098039215773</v>
      </c>
      <c r="AB147" s="54">
        <f t="shared" si="56"/>
        <v>19.05609756097563</v>
      </c>
      <c r="AC147" s="54">
        <f t="shared" si="57"/>
        <v>9.2999999999999829</v>
      </c>
      <c r="AD147" s="54">
        <f t="shared" si="58"/>
        <v>21.090878754171356</v>
      </c>
      <c r="AF147" s="54"/>
      <c r="AG147" s="54"/>
      <c r="AI147" s="54">
        <f t="shared" si="59"/>
        <v>9.2999999999999829</v>
      </c>
      <c r="AJ147" s="54">
        <f t="shared" si="60"/>
        <v>143</v>
      </c>
    </row>
    <row r="148" spans="2:36" hidden="1" x14ac:dyDescent="0.25">
      <c r="B148" s="51"/>
      <c r="C148" s="51"/>
      <c r="D148" s="51"/>
      <c r="E148" s="54">
        <v>144</v>
      </c>
      <c r="F148" s="54">
        <f t="shared" ref="F148:F204" si="61">+F147+0.1</f>
        <v>17.459701492537302</v>
      </c>
      <c r="G148" s="54">
        <f t="shared" ref="G148:G204" si="62">+G147+0.1</f>
        <v>35.075675675675832</v>
      </c>
      <c r="H148" s="54">
        <f t="shared" ref="H148:H204" si="63">+H147+0.1</f>
        <v>9.3999999999999826</v>
      </c>
      <c r="I148" s="54">
        <f t="shared" ref="I148:I204" si="64">+I147+0.1</f>
        <v>9.3999999999999826</v>
      </c>
      <c r="J148" s="54">
        <f t="shared" ref="J148:J204" si="65">+J147+0.1</f>
        <v>9.3999999999999826</v>
      </c>
      <c r="K148" s="54">
        <f t="shared" ref="K148:K204" si="66">+K147+0.1</f>
        <v>9.3999999999999826</v>
      </c>
      <c r="L148" s="54">
        <f t="shared" ref="L148:L204" si="67">+L147+0.1</f>
        <v>9.3999999999999826</v>
      </c>
      <c r="M148" s="54">
        <f t="shared" ref="M148:M204" si="68">+M147+0.1</f>
        <v>22.120848056537177</v>
      </c>
      <c r="N148" s="54">
        <f t="shared" ref="N148:N204" si="69">+N147+0.1</f>
        <v>9.3999999999999826</v>
      </c>
      <c r="O148" s="54">
        <f t="shared" ref="O148:O204" si="70">+O147+0.1</f>
        <v>9.3999999999999826</v>
      </c>
      <c r="P148" s="54">
        <f t="shared" ref="P148:P204" si="71">+P147+0.1</f>
        <v>22.200000000000077</v>
      </c>
      <c r="Q148" s="54">
        <f t="shared" ref="Q148:Q204" si="72">+Q147+0.1</f>
        <v>9.3999999999999826</v>
      </c>
      <c r="R148" s="54">
        <f t="shared" ref="R148:R204" si="73">+R147+0.1</f>
        <v>19.156097560975631</v>
      </c>
      <c r="S148" s="54">
        <f t="shared" ref="S148:S204" si="74">+S147+0.1</f>
        <v>9.3999999999999826</v>
      </c>
      <c r="T148" s="54">
        <f t="shared" ref="T148:T204" si="75">+T147+0.1</f>
        <v>9.3999999999999826</v>
      </c>
      <c r="U148" s="54">
        <f t="shared" ref="U148:U204" si="76">+U147+0.1</f>
        <v>9.3999999999999826</v>
      </c>
      <c r="V148" s="54">
        <f t="shared" ref="V148:V204" si="77">+V147+0.1</f>
        <v>9.3999999999999826</v>
      </c>
      <c r="W148" s="54">
        <f t="shared" ref="W148:W204" si="78">+W147+0.1</f>
        <v>9.3999999999999826</v>
      </c>
      <c r="X148" s="54">
        <f t="shared" ref="X148:X204" si="79">+X147+0.1</f>
        <v>9.3999999999999826</v>
      </c>
      <c r="Y148" s="54">
        <f t="shared" ref="Y148:Y204" si="80">+Y147+0.1</f>
        <v>20.64694376528125</v>
      </c>
      <c r="Z148" s="54">
        <f t="shared" ref="Z148:Z204" si="81">+Z147+0.1</f>
        <v>9.3999999999999826</v>
      </c>
      <c r="AA148" s="54">
        <f t="shared" ref="AA148:AA204" si="82">+AA147+0.1</f>
        <v>22.145098039215775</v>
      </c>
      <c r="AB148" s="54">
        <f t="shared" ref="AB148:AB204" si="83">+AB147+0.1</f>
        <v>19.156097560975631</v>
      </c>
      <c r="AC148" s="54">
        <f t="shared" ref="AC148:AC204" si="84">+AC147+0.1</f>
        <v>9.3999999999999826</v>
      </c>
      <c r="AD148" s="54">
        <f t="shared" ref="AD148:AD204" si="85">+AD147+0.1</f>
        <v>21.190878754171358</v>
      </c>
      <c r="AF148" s="54"/>
      <c r="AG148" s="54"/>
      <c r="AI148" s="54">
        <f t="shared" si="59"/>
        <v>9.3999999999999826</v>
      </c>
      <c r="AJ148" s="54">
        <f t="shared" si="60"/>
        <v>144</v>
      </c>
    </row>
    <row r="149" spans="2:36" hidden="1" x14ac:dyDescent="0.25">
      <c r="B149" s="51"/>
      <c r="C149" s="51"/>
      <c r="D149" s="51"/>
      <c r="E149" s="54">
        <v>145</v>
      </c>
      <c r="F149" s="54">
        <f t="shared" si="61"/>
        <v>17.559701492537304</v>
      </c>
      <c r="G149" s="54">
        <f t="shared" si="62"/>
        <v>35.175675675675834</v>
      </c>
      <c r="H149" s="54">
        <f t="shared" si="63"/>
        <v>9.4999999999999822</v>
      </c>
      <c r="I149" s="54">
        <f t="shared" si="64"/>
        <v>9.4999999999999822</v>
      </c>
      <c r="J149" s="54">
        <f t="shared" si="65"/>
        <v>9.4999999999999822</v>
      </c>
      <c r="K149" s="54">
        <f t="shared" si="66"/>
        <v>9.4999999999999822</v>
      </c>
      <c r="L149" s="54">
        <f t="shared" si="67"/>
        <v>9.4999999999999822</v>
      </c>
      <c r="M149" s="54">
        <f t="shared" si="68"/>
        <v>22.220848056537179</v>
      </c>
      <c r="N149" s="54">
        <f t="shared" si="69"/>
        <v>9.4999999999999822</v>
      </c>
      <c r="O149" s="54">
        <f t="shared" si="70"/>
        <v>9.4999999999999822</v>
      </c>
      <c r="P149" s="54">
        <f t="shared" si="71"/>
        <v>22.300000000000079</v>
      </c>
      <c r="Q149" s="54">
        <f t="shared" si="72"/>
        <v>9.4999999999999822</v>
      </c>
      <c r="R149" s="54">
        <f t="shared" si="73"/>
        <v>19.256097560975633</v>
      </c>
      <c r="S149" s="54">
        <f t="shared" si="74"/>
        <v>9.4999999999999822</v>
      </c>
      <c r="T149" s="54">
        <f t="shared" si="75"/>
        <v>9.4999999999999822</v>
      </c>
      <c r="U149" s="54">
        <f t="shared" si="76"/>
        <v>9.4999999999999822</v>
      </c>
      <c r="V149" s="54">
        <f t="shared" si="77"/>
        <v>9.4999999999999822</v>
      </c>
      <c r="W149" s="54">
        <f t="shared" si="78"/>
        <v>9.4999999999999822</v>
      </c>
      <c r="X149" s="54">
        <f t="shared" si="79"/>
        <v>9.4999999999999822</v>
      </c>
      <c r="Y149" s="54">
        <f t="shared" si="80"/>
        <v>20.746943765281252</v>
      </c>
      <c r="Z149" s="54">
        <f t="shared" si="81"/>
        <v>9.4999999999999822</v>
      </c>
      <c r="AA149" s="54">
        <f t="shared" si="82"/>
        <v>22.245098039215776</v>
      </c>
      <c r="AB149" s="54">
        <f t="shared" si="83"/>
        <v>19.256097560975633</v>
      </c>
      <c r="AC149" s="54">
        <f t="shared" si="84"/>
        <v>9.4999999999999822</v>
      </c>
      <c r="AD149" s="54">
        <f t="shared" si="85"/>
        <v>21.290878754171359</v>
      </c>
      <c r="AF149" s="54"/>
      <c r="AG149" s="54"/>
      <c r="AI149" s="54">
        <f t="shared" si="59"/>
        <v>9.4999999999999822</v>
      </c>
      <c r="AJ149" s="54">
        <f t="shared" si="60"/>
        <v>145</v>
      </c>
    </row>
    <row r="150" spans="2:36" hidden="1" x14ac:dyDescent="0.25">
      <c r="B150" s="51"/>
      <c r="C150" s="51"/>
      <c r="D150" s="51"/>
      <c r="E150" s="54">
        <v>146</v>
      </c>
      <c r="F150" s="54">
        <f t="shared" si="61"/>
        <v>17.659701492537305</v>
      </c>
      <c r="G150" s="54">
        <f t="shared" si="62"/>
        <v>35.275675675675835</v>
      </c>
      <c r="H150" s="54">
        <f t="shared" si="63"/>
        <v>9.5999999999999819</v>
      </c>
      <c r="I150" s="54">
        <f t="shared" si="64"/>
        <v>9.5999999999999819</v>
      </c>
      <c r="J150" s="54">
        <f t="shared" si="65"/>
        <v>9.5999999999999819</v>
      </c>
      <c r="K150" s="54">
        <f t="shared" si="66"/>
        <v>9.5999999999999819</v>
      </c>
      <c r="L150" s="54">
        <f t="shared" si="67"/>
        <v>9.5999999999999819</v>
      </c>
      <c r="M150" s="54">
        <f t="shared" si="68"/>
        <v>22.32084805653718</v>
      </c>
      <c r="N150" s="54">
        <f t="shared" si="69"/>
        <v>9.5999999999999819</v>
      </c>
      <c r="O150" s="54">
        <f t="shared" si="70"/>
        <v>9.5999999999999819</v>
      </c>
      <c r="P150" s="54">
        <f t="shared" si="71"/>
        <v>22.40000000000008</v>
      </c>
      <c r="Q150" s="54">
        <f t="shared" si="72"/>
        <v>9.5999999999999819</v>
      </c>
      <c r="R150" s="54">
        <f t="shared" si="73"/>
        <v>19.356097560975634</v>
      </c>
      <c r="S150" s="54">
        <f t="shared" si="74"/>
        <v>9.5999999999999819</v>
      </c>
      <c r="T150" s="54">
        <f t="shared" si="75"/>
        <v>9.5999999999999819</v>
      </c>
      <c r="U150" s="54">
        <f t="shared" si="76"/>
        <v>9.5999999999999819</v>
      </c>
      <c r="V150" s="54">
        <f t="shared" si="77"/>
        <v>9.5999999999999819</v>
      </c>
      <c r="W150" s="54">
        <f t="shared" si="78"/>
        <v>9.5999999999999819</v>
      </c>
      <c r="X150" s="54">
        <f t="shared" si="79"/>
        <v>9.5999999999999819</v>
      </c>
      <c r="Y150" s="54">
        <f t="shared" si="80"/>
        <v>20.846943765281253</v>
      </c>
      <c r="Z150" s="54">
        <f t="shared" si="81"/>
        <v>9.5999999999999819</v>
      </c>
      <c r="AA150" s="54">
        <f t="shared" si="82"/>
        <v>22.345098039215777</v>
      </c>
      <c r="AB150" s="54">
        <f t="shared" si="83"/>
        <v>19.356097560975634</v>
      </c>
      <c r="AC150" s="54">
        <f t="shared" si="84"/>
        <v>9.5999999999999819</v>
      </c>
      <c r="AD150" s="54">
        <f t="shared" si="85"/>
        <v>21.390878754171361</v>
      </c>
      <c r="AF150" s="54"/>
      <c r="AG150" s="54"/>
      <c r="AI150" s="54">
        <f t="shared" si="59"/>
        <v>9.5999999999999819</v>
      </c>
      <c r="AJ150" s="54">
        <f t="shared" si="60"/>
        <v>146</v>
      </c>
    </row>
    <row r="151" spans="2:36" hidden="1" x14ac:dyDescent="0.25">
      <c r="B151" s="51"/>
      <c r="C151" s="51"/>
      <c r="D151" s="51"/>
      <c r="E151" s="54">
        <v>147</v>
      </c>
      <c r="F151" s="54">
        <f t="shared" si="61"/>
        <v>17.759701492537307</v>
      </c>
      <c r="G151" s="54">
        <f t="shared" si="62"/>
        <v>35.375675675675836</v>
      </c>
      <c r="H151" s="54">
        <f t="shared" si="63"/>
        <v>9.6999999999999815</v>
      </c>
      <c r="I151" s="54">
        <f t="shared" si="64"/>
        <v>9.6999999999999815</v>
      </c>
      <c r="J151" s="54">
        <f t="shared" si="65"/>
        <v>9.6999999999999815</v>
      </c>
      <c r="K151" s="54">
        <f t="shared" si="66"/>
        <v>9.6999999999999815</v>
      </c>
      <c r="L151" s="54">
        <f t="shared" si="67"/>
        <v>9.6999999999999815</v>
      </c>
      <c r="M151" s="54">
        <f t="shared" si="68"/>
        <v>22.420848056537181</v>
      </c>
      <c r="N151" s="54">
        <f t="shared" si="69"/>
        <v>9.6999999999999815</v>
      </c>
      <c r="O151" s="54">
        <f t="shared" si="70"/>
        <v>9.6999999999999815</v>
      </c>
      <c r="P151" s="54">
        <f t="shared" si="71"/>
        <v>22.500000000000082</v>
      </c>
      <c r="Q151" s="54">
        <f t="shared" si="72"/>
        <v>9.6999999999999815</v>
      </c>
      <c r="R151" s="54">
        <f t="shared" si="73"/>
        <v>19.456097560975635</v>
      </c>
      <c r="S151" s="54">
        <f t="shared" si="74"/>
        <v>9.6999999999999815</v>
      </c>
      <c r="T151" s="54">
        <f t="shared" si="75"/>
        <v>9.6999999999999815</v>
      </c>
      <c r="U151" s="54">
        <f t="shared" si="76"/>
        <v>9.6999999999999815</v>
      </c>
      <c r="V151" s="54">
        <f t="shared" si="77"/>
        <v>9.6999999999999815</v>
      </c>
      <c r="W151" s="54">
        <f t="shared" si="78"/>
        <v>9.6999999999999815</v>
      </c>
      <c r="X151" s="54">
        <f t="shared" si="79"/>
        <v>9.6999999999999815</v>
      </c>
      <c r="Y151" s="54">
        <f t="shared" si="80"/>
        <v>20.946943765281254</v>
      </c>
      <c r="Z151" s="54">
        <f t="shared" si="81"/>
        <v>9.6999999999999815</v>
      </c>
      <c r="AA151" s="54">
        <f t="shared" si="82"/>
        <v>22.445098039215779</v>
      </c>
      <c r="AB151" s="54">
        <f t="shared" si="83"/>
        <v>19.456097560975635</v>
      </c>
      <c r="AC151" s="54">
        <f t="shared" si="84"/>
        <v>9.6999999999999815</v>
      </c>
      <c r="AD151" s="54">
        <f t="shared" si="85"/>
        <v>21.490878754171362</v>
      </c>
      <c r="AF151" s="54"/>
      <c r="AG151" s="54"/>
      <c r="AI151" s="54">
        <f t="shared" ref="AI151:AI204" si="86">MIN(E151:AD151)</f>
        <v>9.6999999999999815</v>
      </c>
      <c r="AJ151" s="54">
        <f t="shared" ref="AJ151:AJ204" si="87">MAX(E151:AD151)</f>
        <v>147</v>
      </c>
    </row>
    <row r="152" spans="2:36" hidden="1" x14ac:dyDescent="0.25">
      <c r="B152" s="51"/>
      <c r="C152" s="51"/>
      <c r="D152" s="51"/>
      <c r="E152" s="54">
        <v>148</v>
      </c>
      <c r="F152" s="54">
        <f t="shared" si="61"/>
        <v>17.859701492537308</v>
      </c>
      <c r="G152" s="54">
        <f t="shared" si="62"/>
        <v>35.475675675675838</v>
      </c>
      <c r="H152" s="54">
        <f t="shared" si="63"/>
        <v>9.7999999999999812</v>
      </c>
      <c r="I152" s="54">
        <f t="shared" si="64"/>
        <v>9.7999999999999812</v>
      </c>
      <c r="J152" s="54">
        <f t="shared" si="65"/>
        <v>9.7999999999999812</v>
      </c>
      <c r="K152" s="54">
        <f t="shared" si="66"/>
        <v>9.7999999999999812</v>
      </c>
      <c r="L152" s="54">
        <f t="shared" si="67"/>
        <v>9.7999999999999812</v>
      </c>
      <c r="M152" s="54">
        <f t="shared" si="68"/>
        <v>22.520848056537183</v>
      </c>
      <c r="N152" s="54">
        <f t="shared" si="69"/>
        <v>9.7999999999999812</v>
      </c>
      <c r="O152" s="54">
        <f t="shared" si="70"/>
        <v>9.7999999999999812</v>
      </c>
      <c r="P152" s="54">
        <f t="shared" si="71"/>
        <v>22.600000000000083</v>
      </c>
      <c r="Q152" s="54">
        <f t="shared" si="72"/>
        <v>9.7999999999999812</v>
      </c>
      <c r="R152" s="54">
        <f t="shared" si="73"/>
        <v>19.556097560975637</v>
      </c>
      <c r="S152" s="54">
        <f t="shared" si="74"/>
        <v>9.7999999999999812</v>
      </c>
      <c r="T152" s="54">
        <f t="shared" si="75"/>
        <v>9.7999999999999812</v>
      </c>
      <c r="U152" s="54">
        <f t="shared" si="76"/>
        <v>9.7999999999999812</v>
      </c>
      <c r="V152" s="54">
        <f t="shared" si="77"/>
        <v>9.7999999999999812</v>
      </c>
      <c r="W152" s="54">
        <f t="shared" si="78"/>
        <v>9.7999999999999812</v>
      </c>
      <c r="X152" s="54">
        <f t="shared" si="79"/>
        <v>9.7999999999999812</v>
      </c>
      <c r="Y152" s="54">
        <f t="shared" si="80"/>
        <v>21.046943765281256</v>
      </c>
      <c r="Z152" s="54">
        <f t="shared" si="81"/>
        <v>9.7999999999999812</v>
      </c>
      <c r="AA152" s="54">
        <f t="shared" si="82"/>
        <v>22.54509803921578</v>
      </c>
      <c r="AB152" s="54">
        <f t="shared" si="83"/>
        <v>19.556097560975637</v>
      </c>
      <c r="AC152" s="54">
        <f t="shared" si="84"/>
        <v>9.7999999999999812</v>
      </c>
      <c r="AD152" s="54">
        <f t="shared" si="85"/>
        <v>21.590878754171364</v>
      </c>
      <c r="AF152" s="54"/>
      <c r="AG152" s="54"/>
      <c r="AI152" s="54">
        <f t="shared" si="86"/>
        <v>9.7999999999999812</v>
      </c>
      <c r="AJ152" s="54">
        <f t="shared" si="87"/>
        <v>148</v>
      </c>
    </row>
    <row r="153" spans="2:36" hidden="1" x14ac:dyDescent="0.25">
      <c r="B153" s="51"/>
      <c r="C153" s="51"/>
      <c r="D153" s="51"/>
      <c r="E153" s="54">
        <v>149</v>
      </c>
      <c r="F153" s="54">
        <f t="shared" si="61"/>
        <v>17.95970149253731</v>
      </c>
      <c r="G153" s="54">
        <f t="shared" si="62"/>
        <v>35.575675675675839</v>
      </c>
      <c r="H153" s="54">
        <f t="shared" si="63"/>
        <v>9.8999999999999808</v>
      </c>
      <c r="I153" s="54">
        <f t="shared" si="64"/>
        <v>9.8999999999999808</v>
      </c>
      <c r="J153" s="54">
        <f t="shared" si="65"/>
        <v>9.8999999999999808</v>
      </c>
      <c r="K153" s="54">
        <f t="shared" si="66"/>
        <v>9.8999999999999808</v>
      </c>
      <c r="L153" s="54">
        <f t="shared" si="67"/>
        <v>9.8999999999999808</v>
      </c>
      <c r="M153" s="54">
        <f t="shared" si="68"/>
        <v>22.620848056537184</v>
      </c>
      <c r="N153" s="54">
        <f t="shared" si="69"/>
        <v>9.8999999999999808</v>
      </c>
      <c r="O153" s="54">
        <f t="shared" si="70"/>
        <v>9.8999999999999808</v>
      </c>
      <c r="P153" s="54">
        <f t="shared" si="71"/>
        <v>22.700000000000085</v>
      </c>
      <c r="Q153" s="54">
        <f t="shared" si="72"/>
        <v>9.8999999999999808</v>
      </c>
      <c r="R153" s="54">
        <f t="shared" si="73"/>
        <v>19.656097560975638</v>
      </c>
      <c r="S153" s="54">
        <f t="shared" si="74"/>
        <v>9.8999999999999808</v>
      </c>
      <c r="T153" s="54">
        <f t="shared" si="75"/>
        <v>9.8999999999999808</v>
      </c>
      <c r="U153" s="54">
        <f t="shared" si="76"/>
        <v>9.8999999999999808</v>
      </c>
      <c r="V153" s="54">
        <f t="shared" si="77"/>
        <v>9.8999999999999808</v>
      </c>
      <c r="W153" s="54">
        <f t="shared" si="78"/>
        <v>9.8999999999999808</v>
      </c>
      <c r="X153" s="54">
        <f t="shared" si="79"/>
        <v>9.8999999999999808</v>
      </c>
      <c r="Y153" s="54">
        <f t="shared" si="80"/>
        <v>21.146943765281257</v>
      </c>
      <c r="Z153" s="54">
        <f t="shared" si="81"/>
        <v>9.8999999999999808</v>
      </c>
      <c r="AA153" s="54">
        <f t="shared" si="82"/>
        <v>22.645098039215782</v>
      </c>
      <c r="AB153" s="54">
        <f t="shared" si="83"/>
        <v>19.656097560975638</v>
      </c>
      <c r="AC153" s="54">
        <f t="shared" si="84"/>
        <v>9.8999999999999808</v>
      </c>
      <c r="AD153" s="54">
        <f t="shared" si="85"/>
        <v>21.690878754171365</v>
      </c>
      <c r="AF153" s="54"/>
      <c r="AG153" s="54"/>
      <c r="AI153" s="54">
        <f t="shared" si="86"/>
        <v>9.8999999999999808</v>
      </c>
      <c r="AJ153" s="54">
        <f t="shared" si="87"/>
        <v>149</v>
      </c>
    </row>
    <row r="154" spans="2:36" hidden="1" x14ac:dyDescent="0.25">
      <c r="B154" s="51"/>
      <c r="C154" s="51"/>
      <c r="D154" s="51"/>
      <c r="E154" s="54">
        <v>150</v>
      </c>
      <c r="F154" s="54">
        <f t="shared" si="61"/>
        <v>18.059701492537311</v>
      </c>
      <c r="G154" s="54">
        <f t="shared" si="62"/>
        <v>35.675675675675841</v>
      </c>
      <c r="H154" s="54">
        <f t="shared" si="63"/>
        <v>9.9999999999999805</v>
      </c>
      <c r="I154" s="54">
        <f t="shared" si="64"/>
        <v>9.9999999999999805</v>
      </c>
      <c r="J154" s="54">
        <f t="shared" si="65"/>
        <v>9.9999999999999805</v>
      </c>
      <c r="K154" s="54">
        <f t="shared" si="66"/>
        <v>9.9999999999999805</v>
      </c>
      <c r="L154" s="54">
        <f t="shared" si="67"/>
        <v>9.9999999999999805</v>
      </c>
      <c r="M154" s="54">
        <f t="shared" si="68"/>
        <v>22.720848056537186</v>
      </c>
      <c r="N154" s="54">
        <f t="shared" si="69"/>
        <v>9.9999999999999805</v>
      </c>
      <c r="O154" s="54">
        <f t="shared" si="70"/>
        <v>9.9999999999999805</v>
      </c>
      <c r="P154" s="54">
        <f t="shared" si="71"/>
        <v>22.800000000000086</v>
      </c>
      <c r="Q154" s="54">
        <f t="shared" si="72"/>
        <v>9.9999999999999805</v>
      </c>
      <c r="R154" s="54">
        <f t="shared" si="73"/>
        <v>19.75609756097564</v>
      </c>
      <c r="S154" s="54">
        <f t="shared" si="74"/>
        <v>9.9999999999999805</v>
      </c>
      <c r="T154" s="54">
        <f t="shared" si="75"/>
        <v>9.9999999999999805</v>
      </c>
      <c r="U154" s="54">
        <f t="shared" si="76"/>
        <v>9.9999999999999805</v>
      </c>
      <c r="V154" s="54">
        <f t="shared" si="77"/>
        <v>9.9999999999999805</v>
      </c>
      <c r="W154" s="54">
        <f t="shared" si="78"/>
        <v>9.9999999999999805</v>
      </c>
      <c r="X154" s="54">
        <f t="shared" si="79"/>
        <v>9.9999999999999805</v>
      </c>
      <c r="Y154" s="54">
        <f t="shared" si="80"/>
        <v>21.246943765281259</v>
      </c>
      <c r="Z154" s="54">
        <f t="shared" si="81"/>
        <v>9.9999999999999805</v>
      </c>
      <c r="AA154" s="54">
        <f t="shared" si="82"/>
        <v>22.745098039215783</v>
      </c>
      <c r="AB154" s="54">
        <f t="shared" si="83"/>
        <v>19.75609756097564</v>
      </c>
      <c r="AC154" s="54">
        <f t="shared" si="84"/>
        <v>9.9999999999999805</v>
      </c>
      <c r="AD154" s="54">
        <f t="shared" si="85"/>
        <v>21.790878754171366</v>
      </c>
      <c r="AF154" s="54"/>
      <c r="AG154" s="54"/>
      <c r="AI154" s="54">
        <f t="shared" si="86"/>
        <v>9.9999999999999805</v>
      </c>
      <c r="AJ154" s="54">
        <f t="shared" si="87"/>
        <v>150</v>
      </c>
    </row>
    <row r="155" spans="2:36" hidden="1" x14ac:dyDescent="0.25">
      <c r="B155" s="51"/>
      <c r="C155" s="51"/>
      <c r="D155" s="51"/>
      <c r="E155" s="54">
        <v>151</v>
      </c>
      <c r="F155" s="54">
        <f t="shared" si="61"/>
        <v>18.159701492537312</v>
      </c>
      <c r="G155" s="54">
        <f t="shared" si="62"/>
        <v>35.775675675675842</v>
      </c>
      <c r="H155" s="54">
        <f t="shared" si="63"/>
        <v>10.09999999999998</v>
      </c>
      <c r="I155" s="54">
        <f t="shared" si="64"/>
        <v>10.09999999999998</v>
      </c>
      <c r="J155" s="54">
        <f t="shared" si="65"/>
        <v>10.09999999999998</v>
      </c>
      <c r="K155" s="54">
        <f t="shared" si="66"/>
        <v>10.09999999999998</v>
      </c>
      <c r="L155" s="54">
        <f t="shared" si="67"/>
        <v>10.09999999999998</v>
      </c>
      <c r="M155" s="54">
        <f t="shared" si="68"/>
        <v>22.820848056537187</v>
      </c>
      <c r="N155" s="54">
        <f t="shared" si="69"/>
        <v>10.09999999999998</v>
      </c>
      <c r="O155" s="54">
        <f t="shared" si="70"/>
        <v>10.09999999999998</v>
      </c>
      <c r="P155" s="54">
        <f t="shared" si="71"/>
        <v>22.900000000000087</v>
      </c>
      <c r="Q155" s="54">
        <f t="shared" si="72"/>
        <v>10.09999999999998</v>
      </c>
      <c r="R155" s="54">
        <f t="shared" si="73"/>
        <v>19.856097560975641</v>
      </c>
      <c r="S155" s="54">
        <f t="shared" si="74"/>
        <v>10.09999999999998</v>
      </c>
      <c r="T155" s="54">
        <f t="shared" si="75"/>
        <v>10.09999999999998</v>
      </c>
      <c r="U155" s="54">
        <f t="shared" si="76"/>
        <v>10.09999999999998</v>
      </c>
      <c r="V155" s="54">
        <f t="shared" si="77"/>
        <v>10.09999999999998</v>
      </c>
      <c r="W155" s="54">
        <f t="shared" si="78"/>
        <v>10.09999999999998</v>
      </c>
      <c r="X155" s="54">
        <f t="shared" si="79"/>
        <v>10.09999999999998</v>
      </c>
      <c r="Y155" s="54">
        <f t="shared" si="80"/>
        <v>21.34694376528126</v>
      </c>
      <c r="Z155" s="54">
        <f t="shared" si="81"/>
        <v>10.09999999999998</v>
      </c>
      <c r="AA155" s="54">
        <f t="shared" si="82"/>
        <v>22.845098039215785</v>
      </c>
      <c r="AB155" s="54">
        <f t="shared" si="83"/>
        <v>19.856097560975641</v>
      </c>
      <c r="AC155" s="54">
        <f t="shared" si="84"/>
        <v>10.09999999999998</v>
      </c>
      <c r="AD155" s="54">
        <f t="shared" si="85"/>
        <v>21.890878754171368</v>
      </c>
      <c r="AF155" s="54"/>
      <c r="AG155" s="54"/>
      <c r="AI155" s="54">
        <f t="shared" si="86"/>
        <v>10.09999999999998</v>
      </c>
      <c r="AJ155" s="54">
        <f t="shared" si="87"/>
        <v>151</v>
      </c>
    </row>
    <row r="156" spans="2:36" hidden="1" x14ac:dyDescent="0.25">
      <c r="B156" s="51"/>
      <c r="C156" s="51"/>
      <c r="D156" s="51"/>
      <c r="E156" s="54">
        <v>152</v>
      </c>
      <c r="F156" s="54">
        <f t="shared" si="61"/>
        <v>18.259701492537314</v>
      </c>
      <c r="G156" s="54">
        <f t="shared" si="62"/>
        <v>35.875675675675843</v>
      </c>
      <c r="H156" s="54">
        <f t="shared" si="63"/>
        <v>10.19999999999998</v>
      </c>
      <c r="I156" s="54">
        <f t="shared" si="64"/>
        <v>10.19999999999998</v>
      </c>
      <c r="J156" s="54">
        <f t="shared" si="65"/>
        <v>10.19999999999998</v>
      </c>
      <c r="K156" s="54">
        <f t="shared" si="66"/>
        <v>10.19999999999998</v>
      </c>
      <c r="L156" s="54">
        <f t="shared" si="67"/>
        <v>10.19999999999998</v>
      </c>
      <c r="M156" s="54">
        <f t="shared" si="68"/>
        <v>22.920848056537189</v>
      </c>
      <c r="N156" s="54">
        <f t="shared" si="69"/>
        <v>10.19999999999998</v>
      </c>
      <c r="O156" s="54">
        <f t="shared" si="70"/>
        <v>10.19999999999998</v>
      </c>
      <c r="P156" s="54">
        <f t="shared" si="71"/>
        <v>23.000000000000089</v>
      </c>
      <c r="Q156" s="54">
        <f t="shared" si="72"/>
        <v>10.19999999999998</v>
      </c>
      <c r="R156" s="54">
        <f t="shared" si="73"/>
        <v>19.956097560975643</v>
      </c>
      <c r="S156" s="54">
        <f t="shared" si="74"/>
        <v>10.19999999999998</v>
      </c>
      <c r="T156" s="54">
        <f t="shared" si="75"/>
        <v>10.19999999999998</v>
      </c>
      <c r="U156" s="54">
        <f t="shared" si="76"/>
        <v>10.19999999999998</v>
      </c>
      <c r="V156" s="54">
        <f t="shared" si="77"/>
        <v>10.19999999999998</v>
      </c>
      <c r="W156" s="54">
        <f t="shared" si="78"/>
        <v>10.19999999999998</v>
      </c>
      <c r="X156" s="54">
        <f t="shared" si="79"/>
        <v>10.19999999999998</v>
      </c>
      <c r="Y156" s="54">
        <f t="shared" si="80"/>
        <v>21.446943765281262</v>
      </c>
      <c r="Z156" s="54">
        <f t="shared" si="81"/>
        <v>10.19999999999998</v>
      </c>
      <c r="AA156" s="54">
        <f t="shared" si="82"/>
        <v>22.945098039215786</v>
      </c>
      <c r="AB156" s="54">
        <f t="shared" si="83"/>
        <v>19.956097560975643</v>
      </c>
      <c r="AC156" s="54">
        <f t="shared" si="84"/>
        <v>10.19999999999998</v>
      </c>
      <c r="AD156" s="54">
        <f t="shared" si="85"/>
        <v>21.990878754171369</v>
      </c>
      <c r="AF156" s="54"/>
      <c r="AG156" s="54"/>
      <c r="AI156" s="54">
        <f t="shared" si="86"/>
        <v>10.19999999999998</v>
      </c>
      <c r="AJ156" s="54">
        <f t="shared" si="87"/>
        <v>152</v>
      </c>
    </row>
    <row r="157" spans="2:36" hidden="1" x14ac:dyDescent="0.25">
      <c r="B157" s="51"/>
      <c r="C157" s="51"/>
      <c r="D157" s="51"/>
      <c r="E157" s="54">
        <v>153</v>
      </c>
      <c r="F157" s="54">
        <f t="shared" si="61"/>
        <v>18.359701492537315</v>
      </c>
      <c r="G157" s="54">
        <f t="shared" si="62"/>
        <v>35.975675675675845</v>
      </c>
      <c r="H157" s="54">
        <f t="shared" si="63"/>
        <v>10.299999999999979</v>
      </c>
      <c r="I157" s="54">
        <f t="shared" si="64"/>
        <v>10.299999999999979</v>
      </c>
      <c r="J157" s="54">
        <f t="shared" si="65"/>
        <v>10.299999999999979</v>
      </c>
      <c r="K157" s="54">
        <f t="shared" si="66"/>
        <v>10.299999999999979</v>
      </c>
      <c r="L157" s="54">
        <f t="shared" si="67"/>
        <v>10.299999999999979</v>
      </c>
      <c r="M157" s="54">
        <f t="shared" si="68"/>
        <v>23.02084805653719</v>
      </c>
      <c r="N157" s="54">
        <f t="shared" si="69"/>
        <v>10.299999999999979</v>
      </c>
      <c r="O157" s="54">
        <f t="shared" si="70"/>
        <v>10.299999999999979</v>
      </c>
      <c r="P157" s="54">
        <f t="shared" si="71"/>
        <v>23.10000000000009</v>
      </c>
      <c r="Q157" s="54">
        <f t="shared" si="72"/>
        <v>10.299999999999979</v>
      </c>
      <c r="R157" s="54">
        <f t="shared" si="73"/>
        <v>20.056097560975644</v>
      </c>
      <c r="S157" s="54">
        <f t="shared" si="74"/>
        <v>10.299999999999979</v>
      </c>
      <c r="T157" s="54">
        <f t="shared" si="75"/>
        <v>10.299999999999979</v>
      </c>
      <c r="U157" s="54">
        <f t="shared" si="76"/>
        <v>10.299999999999979</v>
      </c>
      <c r="V157" s="54">
        <f t="shared" si="77"/>
        <v>10.299999999999979</v>
      </c>
      <c r="W157" s="54">
        <f t="shared" si="78"/>
        <v>10.299999999999979</v>
      </c>
      <c r="X157" s="54">
        <f t="shared" si="79"/>
        <v>10.299999999999979</v>
      </c>
      <c r="Y157" s="54">
        <f t="shared" si="80"/>
        <v>21.546943765281263</v>
      </c>
      <c r="Z157" s="54">
        <f t="shared" si="81"/>
        <v>10.299999999999979</v>
      </c>
      <c r="AA157" s="54">
        <f t="shared" si="82"/>
        <v>23.045098039215787</v>
      </c>
      <c r="AB157" s="54">
        <f t="shared" si="83"/>
        <v>20.056097560975644</v>
      </c>
      <c r="AC157" s="54">
        <f t="shared" si="84"/>
        <v>10.299999999999979</v>
      </c>
      <c r="AD157" s="54">
        <f t="shared" si="85"/>
        <v>22.090878754171371</v>
      </c>
      <c r="AF157" s="54"/>
      <c r="AG157" s="54"/>
      <c r="AI157" s="54">
        <f t="shared" si="86"/>
        <v>10.299999999999979</v>
      </c>
      <c r="AJ157" s="54">
        <f t="shared" si="87"/>
        <v>153</v>
      </c>
    </row>
    <row r="158" spans="2:36" hidden="1" x14ac:dyDescent="0.25">
      <c r="B158" s="51"/>
      <c r="C158" s="51"/>
      <c r="D158" s="51"/>
      <c r="E158" s="54">
        <v>154</v>
      </c>
      <c r="F158" s="54">
        <f t="shared" si="61"/>
        <v>18.459701492537317</v>
      </c>
      <c r="G158" s="54">
        <f t="shared" si="62"/>
        <v>36.075675675675846</v>
      </c>
      <c r="H158" s="54">
        <f t="shared" si="63"/>
        <v>10.399999999999979</v>
      </c>
      <c r="I158" s="54">
        <f t="shared" si="64"/>
        <v>10.399999999999979</v>
      </c>
      <c r="J158" s="54">
        <f t="shared" si="65"/>
        <v>10.399999999999979</v>
      </c>
      <c r="K158" s="54">
        <f t="shared" si="66"/>
        <v>10.399999999999979</v>
      </c>
      <c r="L158" s="54">
        <f t="shared" si="67"/>
        <v>10.399999999999979</v>
      </c>
      <c r="M158" s="54">
        <f t="shared" si="68"/>
        <v>23.120848056537191</v>
      </c>
      <c r="N158" s="54">
        <f t="shared" si="69"/>
        <v>10.399999999999979</v>
      </c>
      <c r="O158" s="54">
        <f t="shared" si="70"/>
        <v>10.399999999999979</v>
      </c>
      <c r="P158" s="54">
        <f t="shared" si="71"/>
        <v>23.200000000000092</v>
      </c>
      <c r="Q158" s="54">
        <f t="shared" si="72"/>
        <v>10.399999999999979</v>
      </c>
      <c r="R158" s="54">
        <f t="shared" si="73"/>
        <v>20.156097560975645</v>
      </c>
      <c r="S158" s="54">
        <f t="shared" si="74"/>
        <v>10.399999999999979</v>
      </c>
      <c r="T158" s="54">
        <f t="shared" si="75"/>
        <v>10.399999999999979</v>
      </c>
      <c r="U158" s="54">
        <f t="shared" si="76"/>
        <v>10.399999999999979</v>
      </c>
      <c r="V158" s="54">
        <f t="shared" si="77"/>
        <v>10.399999999999979</v>
      </c>
      <c r="W158" s="54">
        <f t="shared" si="78"/>
        <v>10.399999999999979</v>
      </c>
      <c r="X158" s="54">
        <f t="shared" si="79"/>
        <v>10.399999999999979</v>
      </c>
      <c r="Y158" s="54">
        <f t="shared" si="80"/>
        <v>21.646943765281264</v>
      </c>
      <c r="Z158" s="54">
        <f t="shared" si="81"/>
        <v>10.399999999999979</v>
      </c>
      <c r="AA158" s="54">
        <f t="shared" si="82"/>
        <v>23.145098039215789</v>
      </c>
      <c r="AB158" s="54">
        <f t="shared" si="83"/>
        <v>20.156097560975645</v>
      </c>
      <c r="AC158" s="54">
        <f t="shared" si="84"/>
        <v>10.399999999999979</v>
      </c>
      <c r="AD158" s="54">
        <f t="shared" si="85"/>
        <v>22.190878754171372</v>
      </c>
      <c r="AF158" s="54"/>
      <c r="AG158" s="54"/>
      <c r="AI158" s="54">
        <f t="shared" si="86"/>
        <v>10.399999999999979</v>
      </c>
      <c r="AJ158" s="54">
        <f t="shared" si="87"/>
        <v>154</v>
      </c>
    </row>
    <row r="159" spans="2:36" hidden="1" x14ac:dyDescent="0.25">
      <c r="B159" s="51"/>
      <c r="C159" s="51"/>
      <c r="D159" s="51"/>
      <c r="E159" s="54">
        <v>155</v>
      </c>
      <c r="F159" s="54">
        <f t="shared" si="61"/>
        <v>18.559701492537318</v>
      </c>
      <c r="G159" s="54">
        <f t="shared" si="62"/>
        <v>36.175675675675848</v>
      </c>
      <c r="H159" s="54">
        <f t="shared" si="63"/>
        <v>10.499999999999979</v>
      </c>
      <c r="I159" s="54">
        <f t="shared" si="64"/>
        <v>10.499999999999979</v>
      </c>
      <c r="J159" s="54">
        <f t="shared" si="65"/>
        <v>10.499999999999979</v>
      </c>
      <c r="K159" s="54">
        <f t="shared" si="66"/>
        <v>10.499999999999979</v>
      </c>
      <c r="L159" s="54">
        <f t="shared" si="67"/>
        <v>10.499999999999979</v>
      </c>
      <c r="M159" s="54">
        <f t="shared" si="68"/>
        <v>23.220848056537193</v>
      </c>
      <c r="N159" s="54">
        <f t="shared" si="69"/>
        <v>10.499999999999979</v>
      </c>
      <c r="O159" s="54">
        <f t="shared" si="70"/>
        <v>10.499999999999979</v>
      </c>
      <c r="P159" s="54">
        <f t="shared" si="71"/>
        <v>23.300000000000093</v>
      </c>
      <c r="Q159" s="54">
        <f t="shared" si="72"/>
        <v>10.499999999999979</v>
      </c>
      <c r="R159" s="54">
        <f t="shared" si="73"/>
        <v>20.256097560975647</v>
      </c>
      <c r="S159" s="54">
        <f t="shared" si="74"/>
        <v>10.499999999999979</v>
      </c>
      <c r="T159" s="54">
        <f t="shared" si="75"/>
        <v>10.499999999999979</v>
      </c>
      <c r="U159" s="54">
        <f t="shared" si="76"/>
        <v>10.499999999999979</v>
      </c>
      <c r="V159" s="54">
        <f t="shared" si="77"/>
        <v>10.499999999999979</v>
      </c>
      <c r="W159" s="54">
        <f t="shared" si="78"/>
        <v>10.499999999999979</v>
      </c>
      <c r="X159" s="54">
        <f t="shared" si="79"/>
        <v>10.499999999999979</v>
      </c>
      <c r="Y159" s="54">
        <f t="shared" si="80"/>
        <v>21.746943765281266</v>
      </c>
      <c r="Z159" s="54">
        <f t="shared" si="81"/>
        <v>10.499999999999979</v>
      </c>
      <c r="AA159" s="54">
        <f t="shared" si="82"/>
        <v>23.24509803921579</v>
      </c>
      <c r="AB159" s="54">
        <f t="shared" si="83"/>
        <v>20.256097560975647</v>
      </c>
      <c r="AC159" s="54">
        <f t="shared" si="84"/>
        <v>10.499999999999979</v>
      </c>
      <c r="AD159" s="54">
        <f t="shared" si="85"/>
        <v>22.290878754171374</v>
      </c>
      <c r="AE159" s="49"/>
      <c r="AF159" s="54"/>
      <c r="AG159" s="54"/>
      <c r="AI159" s="54">
        <f t="shared" si="86"/>
        <v>10.499999999999979</v>
      </c>
      <c r="AJ159" s="54">
        <f t="shared" si="87"/>
        <v>155</v>
      </c>
    </row>
    <row r="160" spans="2:36" hidden="1" x14ac:dyDescent="0.25">
      <c r="B160" s="51"/>
      <c r="C160" s="51"/>
      <c r="D160" s="51"/>
      <c r="E160" s="54">
        <v>156</v>
      </c>
      <c r="F160" s="54">
        <f t="shared" si="61"/>
        <v>18.659701492537319</v>
      </c>
      <c r="G160" s="54">
        <f t="shared" si="62"/>
        <v>36.275675675675849</v>
      </c>
      <c r="H160" s="54">
        <f t="shared" si="63"/>
        <v>10.599999999999978</v>
      </c>
      <c r="I160" s="54">
        <f t="shared" si="64"/>
        <v>10.599999999999978</v>
      </c>
      <c r="J160" s="54">
        <f t="shared" si="65"/>
        <v>10.599999999999978</v>
      </c>
      <c r="K160" s="54">
        <f t="shared" si="66"/>
        <v>10.599999999999978</v>
      </c>
      <c r="L160" s="54">
        <f t="shared" si="67"/>
        <v>10.599999999999978</v>
      </c>
      <c r="M160" s="54">
        <f t="shared" si="68"/>
        <v>23.320848056537194</v>
      </c>
      <c r="N160" s="54">
        <f t="shared" si="69"/>
        <v>10.599999999999978</v>
      </c>
      <c r="O160" s="54">
        <f t="shared" si="70"/>
        <v>10.599999999999978</v>
      </c>
      <c r="P160" s="54">
        <f t="shared" si="71"/>
        <v>23.400000000000095</v>
      </c>
      <c r="Q160" s="54">
        <f t="shared" si="72"/>
        <v>10.599999999999978</v>
      </c>
      <c r="R160" s="54">
        <f t="shared" si="73"/>
        <v>20.356097560975648</v>
      </c>
      <c r="S160" s="54">
        <f t="shared" si="74"/>
        <v>10.599999999999978</v>
      </c>
      <c r="T160" s="54">
        <f t="shared" si="75"/>
        <v>10.599999999999978</v>
      </c>
      <c r="U160" s="54">
        <f t="shared" si="76"/>
        <v>10.599999999999978</v>
      </c>
      <c r="V160" s="54">
        <f t="shared" si="77"/>
        <v>10.599999999999978</v>
      </c>
      <c r="W160" s="54">
        <f t="shared" si="78"/>
        <v>10.599999999999978</v>
      </c>
      <c r="X160" s="54">
        <f t="shared" si="79"/>
        <v>10.599999999999978</v>
      </c>
      <c r="Y160" s="54">
        <f t="shared" si="80"/>
        <v>21.846943765281267</v>
      </c>
      <c r="Z160" s="54">
        <f t="shared" si="81"/>
        <v>10.599999999999978</v>
      </c>
      <c r="AA160" s="54">
        <f t="shared" si="82"/>
        <v>23.345098039215792</v>
      </c>
      <c r="AB160" s="54">
        <f t="shared" si="83"/>
        <v>20.356097560975648</v>
      </c>
      <c r="AC160" s="54">
        <f t="shared" si="84"/>
        <v>10.599999999999978</v>
      </c>
      <c r="AD160" s="54">
        <f t="shared" si="85"/>
        <v>22.390878754171375</v>
      </c>
      <c r="AE160" s="49"/>
      <c r="AF160" s="54"/>
      <c r="AG160" s="54"/>
      <c r="AI160" s="54">
        <f t="shared" si="86"/>
        <v>10.599999999999978</v>
      </c>
      <c r="AJ160" s="54">
        <f t="shared" si="87"/>
        <v>156</v>
      </c>
    </row>
    <row r="161" spans="2:36" hidden="1" x14ac:dyDescent="0.25">
      <c r="B161" s="51"/>
      <c r="C161" s="51"/>
      <c r="D161" s="51"/>
      <c r="E161" s="54">
        <v>157</v>
      </c>
      <c r="F161" s="54">
        <f t="shared" si="61"/>
        <v>18.759701492537321</v>
      </c>
      <c r="G161" s="54">
        <f t="shared" si="62"/>
        <v>36.375675675675851</v>
      </c>
      <c r="H161" s="54">
        <f t="shared" si="63"/>
        <v>10.699999999999978</v>
      </c>
      <c r="I161" s="54">
        <f t="shared" si="64"/>
        <v>10.699999999999978</v>
      </c>
      <c r="J161" s="54">
        <f t="shared" si="65"/>
        <v>10.699999999999978</v>
      </c>
      <c r="K161" s="54">
        <f t="shared" si="66"/>
        <v>10.699999999999978</v>
      </c>
      <c r="L161" s="54">
        <f t="shared" si="67"/>
        <v>10.699999999999978</v>
      </c>
      <c r="M161" s="54">
        <f t="shared" si="68"/>
        <v>23.420848056537196</v>
      </c>
      <c r="N161" s="54">
        <f t="shared" si="69"/>
        <v>10.699999999999978</v>
      </c>
      <c r="O161" s="54">
        <f t="shared" si="70"/>
        <v>10.699999999999978</v>
      </c>
      <c r="P161" s="54">
        <f t="shared" si="71"/>
        <v>23.500000000000096</v>
      </c>
      <c r="Q161" s="54">
        <f t="shared" si="72"/>
        <v>10.699999999999978</v>
      </c>
      <c r="R161" s="54">
        <f t="shared" si="73"/>
        <v>20.45609756097565</v>
      </c>
      <c r="S161" s="54">
        <f t="shared" si="74"/>
        <v>10.699999999999978</v>
      </c>
      <c r="T161" s="54">
        <f t="shared" si="75"/>
        <v>10.699999999999978</v>
      </c>
      <c r="U161" s="54">
        <f t="shared" si="76"/>
        <v>10.699999999999978</v>
      </c>
      <c r="V161" s="54">
        <f t="shared" si="77"/>
        <v>10.699999999999978</v>
      </c>
      <c r="W161" s="54">
        <f t="shared" si="78"/>
        <v>10.699999999999978</v>
      </c>
      <c r="X161" s="54">
        <f t="shared" si="79"/>
        <v>10.699999999999978</v>
      </c>
      <c r="Y161" s="54">
        <f t="shared" si="80"/>
        <v>21.946943765281269</v>
      </c>
      <c r="Z161" s="54">
        <f t="shared" si="81"/>
        <v>10.699999999999978</v>
      </c>
      <c r="AA161" s="54">
        <f t="shared" si="82"/>
        <v>23.445098039215793</v>
      </c>
      <c r="AB161" s="54">
        <f t="shared" si="83"/>
        <v>20.45609756097565</v>
      </c>
      <c r="AC161" s="54">
        <f t="shared" si="84"/>
        <v>10.699999999999978</v>
      </c>
      <c r="AD161" s="54">
        <f t="shared" si="85"/>
        <v>22.490878754171376</v>
      </c>
      <c r="AE161" s="49"/>
      <c r="AF161" s="54"/>
      <c r="AG161" s="54"/>
      <c r="AI161" s="54">
        <f t="shared" si="86"/>
        <v>10.699999999999978</v>
      </c>
      <c r="AJ161" s="54">
        <f t="shared" si="87"/>
        <v>157</v>
      </c>
    </row>
    <row r="162" spans="2:36" hidden="1" x14ac:dyDescent="0.25">
      <c r="B162" s="51"/>
      <c r="C162" s="51"/>
      <c r="D162" s="51"/>
      <c r="E162" s="54">
        <v>158</v>
      </c>
      <c r="F162" s="54">
        <f t="shared" si="61"/>
        <v>18.859701492537322</v>
      </c>
      <c r="G162" s="54">
        <f t="shared" si="62"/>
        <v>36.475675675675852</v>
      </c>
      <c r="H162" s="54">
        <f t="shared" si="63"/>
        <v>10.799999999999978</v>
      </c>
      <c r="I162" s="54">
        <f t="shared" si="64"/>
        <v>10.799999999999978</v>
      </c>
      <c r="J162" s="54">
        <f t="shared" si="65"/>
        <v>10.799999999999978</v>
      </c>
      <c r="K162" s="54">
        <f t="shared" si="66"/>
        <v>10.799999999999978</v>
      </c>
      <c r="L162" s="54">
        <f t="shared" si="67"/>
        <v>10.799999999999978</v>
      </c>
      <c r="M162" s="54">
        <f t="shared" si="68"/>
        <v>23.520848056537197</v>
      </c>
      <c r="N162" s="54">
        <f t="shared" si="69"/>
        <v>10.799999999999978</v>
      </c>
      <c r="O162" s="54">
        <f t="shared" si="70"/>
        <v>10.799999999999978</v>
      </c>
      <c r="P162" s="54">
        <f t="shared" si="71"/>
        <v>23.600000000000097</v>
      </c>
      <c r="Q162" s="54">
        <f t="shared" si="72"/>
        <v>10.799999999999978</v>
      </c>
      <c r="R162" s="54">
        <f t="shared" si="73"/>
        <v>20.556097560975651</v>
      </c>
      <c r="S162" s="54">
        <f t="shared" si="74"/>
        <v>10.799999999999978</v>
      </c>
      <c r="T162" s="54">
        <f t="shared" si="75"/>
        <v>10.799999999999978</v>
      </c>
      <c r="U162" s="54">
        <f t="shared" si="76"/>
        <v>10.799999999999978</v>
      </c>
      <c r="V162" s="54">
        <f t="shared" si="77"/>
        <v>10.799999999999978</v>
      </c>
      <c r="W162" s="54">
        <f t="shared" si="78"/>
        <v>10.799999999999978</v>
      </c>
      <c r="X162" s="54">
        <f t="shared" si="79"/>
        <v>10.799999999999978</v>
      </c>
      <c r="Y162" s="54">
        <f t="shared" si="80"/>
        <v>22.04694376528127</v>
      </c>
      <c r="Z162" s="54">
        <f t="shared" si="81"/>
        <v>10.799999999999978</v>
      </c>
      <c r="AA162" s="54">
        <f t="shared" si="82"/>
        <v>23.545098039215794</v>
      </c>
      <c r="AB162" s="54">
        <f t="shared" si="83"/>
        <v>20.556097560975651</v>
      </c>
      <c r="AC162" s="54">
        <f t="shared" si="84"/>
        <v>10.799999999999978</v>
      </c>
      <c r="AD162" s="54">
        <f t="shared" si="85"/>
        <v>22.590878754171378</v>
      </c>
      <c r="AE162" s="49"/>
      <c r="AF162" s="54"/>
      <c r="AG162" s="54"/>
      <c r="AI162" s="54">
        <f t="shared" si="86"/>
        <v>10.799999999999978</v>
      </c>
      <c r="AJ162" s="54">
        <f t="shared" si="87"/>
        <v>158</v>
      </c>
    </row>
    <row r="163" spans="2:36" hidden="1" x14ac:dyDescent="0.25">
      <c r="B163" s="51"/>
      <c r="C163" s="51"/>
      <c r="D163" s="51"/>
      <c r="E163" s="54">
        <v>159</v>
      </c>
      <c r="F163" s="54">
        <f t="shared" si="61"/>
        <v>18.959701492537324</v>
      </c>
      <c r="G163" s="54">
        <f t="shared" si="62"/>
        <v>36.575675675675853</v>
      </c>
      <c r="H163" s="54">
        <f t="shared" si="63"/>
        <v>10.899999999999977</v>
      </c>
      <c r="I163" s="54">
        <f t="shared" si="64"/>
        <v>10.899999999999977</v>
      </c>
      <c r="J163" s="54">
        <f t="shared" si="65"/>
        <v>10.899999999999977</v>
      </c>
      <c r="K163" s="54">
        <f t="shared" si="66"/>
        <v>10.899999999999977</v>
      </c>
      <c r="L163" s="54">
        <f t="shared" si="67"/>
        <v>10.899999999999977</v>
      </c>
      <c r="M163" s="54">
        <f t="shared" si="68"/>
        <v>23.620848056537199</v>
      </c>
      <c r="N163" s="54">
        <f t="shared" si="69"/>
        <v>10.899999999999977</v>
      </c>
      <c r="O163" s="54">
        <f t="shared" si="70"/>
        <v>10.899999999999977</v>
      </c>
      <c r="P163" s="54">
        <f t="shared" si="71"/>
        <v>23.700000000000099</v>
      </c>
      <c r="Q163" s="54">
        <f t="shared" si="72"/>
        <v>10.899999999999977</v>
      </c>
      <c r="R163" s="54">
        <f t="shared" si="73"/>
        <v>20.656097560975653</v>
      </c>
      <c r="S163" s="54">
        <f t="shared" si="74"/>
        <v>10.899999999999977</v>
      </c>
      <c r="T163" s="54">
        <f t="shared" si="75"/>
        <v>10.899999999999977</v>
      </c>
      <c r="U163" s="54">
        <f t="shared" si="76"/>
        <v>10.899999999999977</v>
      </c>
      <c r="V163" s="54">
        <f t="shared" si="77"/>
        <v>10.899999999999977</v>
      </c>
      <c r="W163" s="54">
        <f t="shared" si="78"/>
        <v>10.899999999999977</v>
      </c>
      <c r="X163" s="54">
        <f t="shared" si="79"/>
        <v>10.899999999999977</v>
      </c>
      <c r="Y163" s="54">
        <f t="shared" si="80"/>
        <v>22.146943765281272</v>
      </c>
      <c r="Z163" s="54">
        <f t="shared" si="81"/>
        <v>10.899999999999977</v>
      </c>
      <c r="AA163" s="54">
        <f t="shared" si="82"/>
        <v>23.645098039215796</v>
      </c>
      <c r="AB163" s="54">
        <f t="shared" si="83"/>
        <v>20.656097560975653</v>
      </c>
      <c r="AC163" s="54">
        <f t="shared" si="84"/>
        <v>10.899999999999977</v>
      </c>
      <c r="AD163" s="54">
        <f t="shared" si="85"/>
        <v>22.690878754171379</v>
      </c>
      <c r="AE163" s="49"/>
      <c r="AF163" s="54"/>
      <c r="AG163" s="54"/>
      <c r="AI163" s="54">
        <f t="shared" si="86"/>
        <v>10.899999999999977</v>
      </c>
      <c r="AJ163" s="54">
        <f t="shared" si="87"/>
        <v>159</v>
      </c>
    </row>
    <row r="164" spans="2:36" hidden="1" x14ac:dyDescent="0.25">
      <c r="B164" s="51"/>
      <c r="C164" s="51"/>
      <c r="D164" s="51"/>
      <c r="E164" s="54">
        <v>160</v>
      </c>
      <c r="F164" s="54">
        <f t="shared" si="61"/>
        <v>19.059701492537325</v>
      </c>
      <c r="G164" s="54">
        <f t="shared" si="62"/>
        <v>36.675675675675855</v>
      </c>
      <c r="H164" s="54">
        <f t="shared" si="63"/>
        <v>10.999999999999977</v>
      </c>
      <c r="I164" s="54">
        <f t="shared" si="64"/>
        <v>10.999999999999977</v>
      </c>
      <c r="J164" s="54">
        <f t="shared" si="65"/>
        <v>10.999999999999977</v>
      </c>
      <c r="K164" s="54">
        <f t="shared" si="66"/>
        <v>10.999999999999977</v>
      </c>
      <c r="L164" s="54">
        <f t="shared" si="67"/>
        <v>10.999999999999977</v>
      </c>
      <c r="M164" s="54">
        <f t="shared" si="68"/>
        <v>23.7208480565372</v>
      </c>
      <c r="N164" s="54">
        <f t="shared" si="69"/>
        <v>10.999999999999977</v>
      </c>
      <c r="O164" s="54">
        <f t="shared" si="70"/>
        <v>10.999999999999977</v>
      </c>
      <c r="P164" s="54">
        <f t="shared" si="71"/>
        <v>23.8000000000001</v>
      </c>
      <c r="Q164" s="54">
        <f t="shared" si="72"/>
        <v>10.999999999999977</v>
      </c>
      <c r="R164" s="54">
        <f t="shared" si="73"/>
        <v>20.756097560975654</v>
      </c>
      <c r="S164" s="54">
        <f t="shared" si="74"/>
        <v>10.999999999999977</v>
      </c>
      <c r="T164" s="54">
        <f t="shared" si="75"/>
        <v>10.999999999999977</v>
      </c>
      <c r="U164" s="54">
        <f t="shared" si="76"/>
        <v>10.999999999999977</v>
      </c>
      <c r="V164" s="54">
        <f t="shared" si="77"/>
        <v>10.999999999999977</v>
      </c>
      <c r="W164" s="54">
        <f t="shared" si="78"/>
        <v>10.999999999999977</v>
      </c>
      <c r="X164" s="54">
        <f t="shared" si="79"/>
        <v>10.999999999999977</v>
      </c>
      <c r="Y164" s="54">
        <f t="shared" si="80"/>
        <v>22.246943765281273</v>
      </c>
      <c r="Z164" s="54">
        <f t="shared" si="81"/>
        <v>10.999999999999977</v>
      </c>
      <c r="AA164" s="54">
        <f t="shared" si="82"/>
        <v>23.745098039215797</v>
      </c>
      <c r="AB164" s="54">
        <f t="shared" si="83"/>
        <v>20.756097560975654</v>
      </c>
      <c r="AC164" s="54">
        <f t="shared" si="84"/>
        <v>10.999999999999977</v>
      </c>
      <c r="AD164" s="54">
        <f t="shared" si="85"/>
        <v>22.790878754171381</v>
      </c>
      <c r="AE164" s="49"/>
      <c r="AF164" s="54"/>
      <c r="AG164" s="54"/>
      <c r="AI164" s="54">
        <f t="shared" si="86"/>
        <v>10.999999999999977</v>
      </c>
      <c r="AJ164" s="54">
        <f t="shared" si="87"/>
        <v>160</v>
      </c>
    </row>
    <row r="165" spans="2:36" hidden="1" x14ac:dyDescent="0.25">
      <c r="B165" s="51"/>
      <c r="C165" s="51"/>
      <c r="D165" s="51"/>
      <c r="E165" s="54">
        <v>161</v>
      </c>
      <c r="F165" s="54">
        <f t="shared" si="61"/>
        <v>19.159701492537327</v>
      </c>
      <c r="G165" s="54">
        <f t="shared" si="62"/>
        <v>36.775675675675856</v>
      </c>
      <c r="H165" s="54">
        <f t="shared" si="63"/>
        <v>11.099999999999977</v>
      </c>
      <c r="I165" s="54">
        <f t="shared" si="64"/>
        <v>11.099999999999977</v>
      </c>
      <c r="J165" s="54">
        <f t="shared" si="65"/>
        <v>11.099999999999977</v>
      </c>
      <c r="K165" s="54">
        <f t="shared" si="66"/>
        <v>11.099999999999977</v>
      </c>
      <c r="L165" s="54">
        <f t="shared" si="67"/>
        <v>11.099999999999977</v>
      </c>
      <c r="M165" s="54">
        <f t="shared" si="68"/>
        <v>23.820848056537201</v>
      </c>
      <c r="N165" s="54">
        <f t="shared" si="69"/>
        <v>11.099999999999977</v>
      </c>
      <c r="O165" s="54">
        <f t="shared" si="70"/>
        <v>11.099999999999977</v>
      </c>
      <c r="P165" s="54">
        <f t="shared" si="71"/>
        <v>23.900000000000102</v>
      </c>
      <c r="Q165" s="54">
        <f t="shared" si="72"/>
        <v>11.099999999999977</v>
      </c>
      <c r="R165" s="54">
        <f t="shared" si="73"/>
        <v>20.856097560975655</v>
      </c>
      <c r="S165" s="54">
        <f t="shared" si="74"/>
        <v>11.099999999999977</v>
      </c>
      <c r="T165" s="54">
        <f t="shared" si="75"/>
        <v>11.099999999999977</v>
      </c>
      <c r="U165" s="54">
        <f t="shared" si="76"/>
        <v>11.099999999999977</v>
      </c>
      <c r="V165" s="54">
        <f t="shared" si="77"/>
        <v>11.099999999999977</v>
      </c>
      <c r="W165" s="54">
        <f t="shared" si="78"/>
        <v>11.099999999999977</v>
      </c>
      <c r="X165" s="54">
        <f t="shared" si="79"/>
        <v>11.099999999999977</v>
      </c>
      <c r="Y165" s="54">
        <f t="shared" si="80"/>
        <v>22.346943765281274</v>
      </c>
      <c r="Z165" s="54">
        <f t="shared" si="81"/>
        <v>11.099999999999977</v>
      </c>
      <c r="AA165" s="54">
        <f t="shared" si="82"/>
        <v>23.845098039215799</v>
      </c>
      <c r="AB165" s="54">
        <f t="shared" si="83"/>
        <v>20.856097560975655</v>
      </c>
      <c r="AC165" s="54">
        <f t="shared" si="84"/>
        <v>11.099999999999977</v>
      </c>
      <c r="AD165" s="54">
        <f t="shared" si="85"/>
        <v>22.890878754171382</v>
      </c>
      <c r="AE165" s="49"/>
      <c r="AF165" s="54"/>
      <c r="AG165" s="54"/>
      <c r="AI165" s="54">
        <f t="shared" si="86"/>
        <v>11.099999999999977</v>
      </c>
      <c r="AJ165" s="54">
        <f t="shared" si="87"/>
        <v>161</v>
      </c>
    </row>
    <row r="166" spans="2:36" hidden="1" x14ac:dyDescent="0.25">
      <c r="B166" s="51"/>
      <c r="C166" s="51"/>
      <c r="D166" s="51"/>
      <c r="E166" s="54">
        <v>162</v>
      </c>
      <c r="F166" s="54">
        <f t="shared" si="61"/>
        <v>19.259701492537328</v>
      </c>
      <c r="G166" s="54">
        <f t="shared" si="62"/>
        <v>36.875675675675858</v>
      </c>
      <c r="H166" s="54">
        <f t="shared" si="63"/>
        <v>11.199999999999976</v>
      </c>
      <c r="I166" s="54">
        <f t="shared" si="64"/>
        <v>11.199999999999976</v>
      </c>
      <c r="J166" s="54">
        <f t="shared" si="65"/>
        <v>11.199999999999976</v>
      </c>
      <c r="K166" s="54">
        <f t="shared" si="66"/>
        <v>11.199999999999976</v>
      </c>
      <c r="L166" s="54">
        <f t="shared" si="67"/>
        <v>11.199999999999976</v>
      </c>
      <c r="M166" s="54">
        <f t="shared" si="68"/>
        <v>23.920848056537203</v>
      </c>
      <c r="N166" s="54">
        <f t="shared" si="69"/>
        <v>11.199999999999976</v>
      </c>
      <c r="O166" s="54">
        <f t="shared" si="70"/>
        <v>11.199999999999976</v>
      </c>
      <c r="P166" s="54">
        <f t="shared" si="71"/>
        <v>24.000000000000103</v>
      </c>
      <c r="Q166" s="54">
        <f t="shared" si="72"/>
        <v>11.199999999999976</v>
      </c>
      <c r="R166" s="54">
        <f t="shared" si="73"/>
        <v>20.956097560975657</v>
      </c>
      <c r="S166" s="54">
        <f t="shared" si="74"/>
        <v>11.199999999999976</v>
      </c>
      <c r="T166" s="54">
        <f t="shared" si="75"/>
        <v>11.199999999999976</v>
      </c>
      <c r="U166" s="54">
        <f t="shared" si="76"/>
        <v>11.199999999999976</v>
      </c>
      <c r="V166" s="54">
        <f t="shared" si="77"/>
        <v>11.199999999999976</v>
      </c>
      <c r="W166" s="54">
        <f t="shared" si="78"/>
        <v>11.199999999999976</v>
      </c>
      <c r="X166" s="54">
        <f t="shared" si="79"/>
        <v>11.199999999999976</v>
      </c>
      <c r="Y166" s="54">
        <f t="shared" si="80"/>
        <v>22.446943765281276</v>
      </c>
      <c r="Z166" s="54">
        <f t="shared" si="81"/>
        <v>11.199999999999976</v>
      </c>
      <c r="AA166" s="54">
        <f t="shared" si="82"/>
        <v>23.9450980392158</v>
      </c>
      <c r="AB166" s="54">
        <f t="shared" si="83"/>
        <v>20.956097560975657</v>
      </c>
      <c r="AC166" s="54">
        <f t="shared" si="84"/>
        <v>11.199999999999976</v>
      </c>
      <c r="AD166" s="54">
        <f t="shared" si="85"/>
        <v>22.990878754171383</v>
      </c>
      <c r="AE166" s="49"/>
      <c r="AF166" s="54"/>
      <c r="AG166" s="54"/>
      <c r="AI166" s="54">
        <f t="shared" si="86"/>
        <v>11.199999999999976</v>
      </c>
      <c r="AJ166" s="54">
        <f t="shared" si="87"/>
        <v>162</v>
      </c>
    </row>
    <row r="167" spans="2:36" hidden="1" x14ac:dyDescent="0.25">
      <c r="B167" s="51"/>
      <c r="C167" s="51"/>
      <c r="D167" s="51"/>
      <c r="E167" s="54">
        <v>163</v>
      </c>
      <c r="F167" s="54">
        <f t="shared" si="61"/>
        <v>19.359701492537329</v>
      </c>
      <c r="G167" s="54">
        <f t="shared" si="62"/>
        <v>36.975675675675859</v>
      </c>
      <c r="H167" s="54">
        <f t="shared" si="63"/>
        <v>11.299999999999976</v>
      </c>
      <c r="I167" s="54">
        <f t="shared" si="64"/>
        <v>11.299999999999976</v>
      </c>
      <c r="J167" s="54">
        <f t="shared" si="65"/>
        <v>11.299999999999976</v>
      </c>
      <c r="K167" s="54">
        <f t="shared" si="66"/>
        <v>11.299999999999976</v>
      </c>
      <c r="L167" s="54">
        <f t="shared" si="67"/>
        <v>11.299999999999976</v>
      </c>
      <c r="M167" s="54">
        <f t="shared" si="68"/>
        <v>24.020848056537204</v>
      </c>
      <c r="N167" s="54">
        <f t="shared" si="69"/>
        <v>11.299999999999976</v>
      </c>
      <c r="O167" s="54">
        <f t="shared" si="70"/>
        <v>11.299999999999976</v>
      </c>
      <c r="P167" s="54">
        <f t="shared" si="71"/>
        <v>24.100000000000104</v>
      </c>
      <c r="Q167" s="54">
        <f t="shared" si="72"/>
        <v>11.299999999999976</v>
      </c>
      <c r="R167" s="54">
        <f t="shared" si="73"/>
        <v>21.056097560975658</v>
      </c>
      <c r="S167" s="54">
        <f t="shared" si="74"/>
        <v>11.299999999999976</v>
      </c>
      <c r="T167" s="54">
        <f t="shared" si="75"/>
        <v>11.299999999999976</v>
      </c>
      <c r="U167" s="54">
        <f t="shared" si="76"/>
        <v>11.299999999999976</v>
      </c>
      <c r="V167" s="54">
        <f t="shared" si="77"/>
        <v>11.299999999999976</v>
      </c>
      <c r="W167" s="54">
        <f t="shared" si="78"/>
        <v>11.299999999999976</v>
      </c>
      <c r="X167" s="54">
        <f t="shared" si="79"/>
        <v>11.299999999999976</v>
      </c>
      <c r="Y167" s="54">
        <f t="shared" si="80"/>
        <v>22.546943765281277</v>
      </c>
      <c r="Z167" s="54">
        <f t="shared" si="81"/>
        <v>11.299999999999976</v>
      </c>
      <c r="AA167" s="54">
        <f t="shared" si="82"/>
        <v>24.045098039215802</v>
      </c>
      <c r="AB167" s="54">
        <f t="shared" si="83"/>
        <v>21.056097560975658</v>
      </c>
      <c r="AC167" s="54">
        <f t="shared" si="84"/>
        <v>11.299999999999976</v>
      </c>
      <c r="AD167" s="54">
        <f t="shared" si="85"/>
        <v>23.090878754171385</v>
      </c>
      <c r="AE167" s="49"/>
      <c r="AF167" s="54"/>
      <c r="AG167" s="54"/>
      <c r="AI167" s="54">
        <f t="shared" si="86"/>
        <v>11.299999999999976</v>
      </c>
      <c r="AJ167" s="54">
        <f t="shared" si="87"/>
        <v>163</v>
      </c>
    </row>
    <row r="168" spans="2:36" hidden="1" x14ac:dyDescent="0.25">
      <c r="B168" s="51"/>
      <c r="C168" s="51"/>
      <c r="D168" s="51"/>
      <c r="E168" s="54">
        <v>164</v>
      </c>
      <c r="F168" s="54">
        <f t="shared" si="61"/>
        <v>19.459701492537331</v>
      </c>
      <c r="G168" s="54">
        <f t="shared" si="62"/>
        <v>37.075675675675861</v>
      </c>
      <c r="H168" s="54">
        <f t="shared" si="63"/>
        <v>11.399999999999975</v>
      </c>
      <c r="I168" s="54">
        <f t="shared" si="64"/>
        <v>11.399999999999975</v>
      </c>
      <c r="J168" s="54">
        <f t="shared" si="65"/>
        <v>11.399999999999975</v>
      </c>
      <c r="K168" s="54">
        <f t="shared" si="66"/>
        <v>11.399999999999975</v>
      </c>
      <c r="L168" s="54">
        <f t="shared" si="67"/>
        <v>11.399999999999975</v>
      </c>
      <c r="M168" s="54">
        <f t="shared" si="68"/>
        <v>24.120848056537206</v>
      </c>
      <c r="N168" s="54">
        <f t="shared" si="69"/>
        <v>11.399999999999975</v>
      </c>
      <c r="O168" s="54">
        <f t="shared" si="70"/>
        <v>11.399999999999975</v>
      </c>
      <c r="P168" s="54">
        <f t="shared" si="71"/>
        <v>24.200000000000106</v>
      </c>
      <c r="Q168" s="54">
        <f t="shared" si="72"/>
        <v>11.399999999999975</v>
      </c>
      <c r="R168" s="54">
        <f t="shared" si="73"/>
        <v>21.15609756097566</v>
      </c>
      <c r="S168" s="54">
        <f t="shared" si="74"/>
        <v>11.399999999999975</v>
      </c>
      <c r="T168" s="54">
        <f t="shared" si="75"/>
        <v>11.399999999999975</v>
      </c>
      <c r="U168" s="54">
        <f t="shared" si="76"/>
        <v>11.399999999999975</v>
      </c>
      <c r="V168" s="54">
        <f t="shared" si="77"/>
        <v>11.399999999999975</v>
      </c>
      <c r="W168" s="54">
        <f t="shared" si="78"/>
        <v>11.399999999999975</v>
      </c>
      <c r="X168" s="54">
        <f t="shared" si="79"/>
        <v>11.399999999999975</v>
      </c>
      <c r="Y168" s="54">
        <f t="shared" si="80"/>
        <v>22.646943765281279</v>
      </c>
      <c r="Z168" s="54">
        <f t="shared" si="81"/>
        <v>11.399999999999975</v>
      </c>
      <c r="AA168" s="54">
        <f t="shared" si="82"/>
        <v>24.145098039215803</v>
      </c>
      <c r="AB168" s="54">
        <f t="shared" si="83"/>
        <v>21.15609756097566</v>
      </c>
      <c r="AC168" s="54">
        <f t="shared" si="84"/>
        <v>11.399999999999975</v>
      </c>
      <c r="AD168" s="54">
        <f t="shared" si="85"/>
        <v>23.190878754171386</v>
      </c>
      <c r="AE168" s="49"/>
      <c r="AF168" s="54"/>
      <c r="AG168" s="54"/>
      <c r="AI168" s="54">
        <f t="shared" si="86"/>
        <v>11.399999999999975</v>
      </c>
      <c r="AJ168" s="54">
        <f t="shared" si="87"/>
        <v>164</v>
      </c>
    </row>
    <row r="169" spans="2:36" hidden="1" x14ac:dyDescent="0.25">
      <c r="B169" s="51"/>
      <c r="C169" s="51"/>
      <c r="D169" s="51"/>
      <c r="E169" s="54">
        <v>165</v>
      </c>
      <c r="F169" s="54">
        <f t="shared" si="61"/>
        <v>19.559701492537332</v>
      </c>
      <c r="G169" s="54">
        <f t="shared" si="62"/>
        <v>37.175675675675862</v>
      </c>
      <c r="H169" s="54">
        <f t="shared" si="63"/>
        <v>11.499999999999975</v>
      </c>
      <c r="I169" s="54">
        <f t="shared" si="64"/>
        <v>11.499999999999975</v>
      </c>
      <c r="J169" s="54">
        <f t="shared" si="65"/>
        <v>11.499999999999975</v>
      </c>
      <c r="K169" s="54">
        <f t="shared" si="66"/>
        <v>11.499999999999975</v>
      </c>
      <c r="L169" s="54">
        <f t="shared" si="67"/>
        <v>11.499999999999975</v>
      </c>
      <c r="M169" s="54">
        <f t="shared" si="68"/>
        <v>24.220848056537207</v>
      </c>
      <c r="N169" s="54">
        <f t="shared" si="69"/>
        <v>11.499999999999975</v>
      </c>
      <c r="O169" s="54">
        <f t="shared" si="70"/>
        <v>11.499999999999975</v>
      </c>
      <c r="P169" s="54">
        <f t="shared" si="71"/>
        <v>24.300000000000107</v>
      </c>
      <c r="Q169" s="54">
        <f t="shared" si="72"/>
        <v>11.499999999999975</v>
      </c>
      <c r="R169" s="54">
        <f t="shared" si="73"/>
        <v>21.256097560975661</v>
      </c>
      <c r="S169" s="54">
        <f t="shared" si="74"/>
        <v>11.499999999999975</v>
      </c>
      <c r="T169" s="54">
        <f t="shared" si="75"/>
        <v>11.499999999999975</v>
      </c>
      <c r="U169" s="54">
        <f t="shared" si="76"/>
        <v>11.499999999999975</v>
      </c>
      <c r="V169" s="54">
        <f t="shared" si="77"/>
        <v>11.499999999999975</v>
      </c>
      <c r="W169" s="54">
        <f t="shared" si="78"/>
        <v>11.499999999999975</v>
      </c>
      <c r="X169" s="54">
        <f t="shared" si="79"/>
        <v>11.499999999999975</v>
      </c>
      <c r="Y169" s="54">
        <f t="shared" si="80"/>
        <v>22.74694376528128</v>
      </c>
      <c r="Z169" s="54">
        <f t="shared" si="81"/>
        <v>11.499999999999975</v>
      </c>
      <c r="AA169" s="54">
        <f t="shared" si="82"/>
        <v>24.245098039215804</v>
      </c>
      <c r="AB169" s="54">
        <f t="shared" si="83"/>
        <v>21.256097560975661</v>
      </c>
      <c r="AC169" s="54">
        <f t="shared" si="84"/>
        <v>11.499999999999975</v>
      </c>
      <c r="AD169" s="54">
        <f t="shared" si="85"/>
        <v>23.290878754171388</v>
      </c>
      <c r="AE169" s="49"/>
      <c r="AF169" s="54"/>
      <c r="AG169" s="54"/>
      <c r="AI169" s="54">
        <f t="shared" si="86"/>
        <v>11.499999999999975</v>
      </c>
      <c r="AJ169" s="54">
        <f t="shared" si="87"/>
        <v>165</v>
      </c>
    </row>
    <row r="170" spans="2:36" hidden="1" x14ac:dyDescent="0.25">
      <c r="B170" s="51"/>
      <c r="C170" s="51"/>
      <c r="D170" s="51"/>
      <c r="E170" s="54">
        <v>166</v>
      </c>
      <c r="F170" s="54">
        <f t="shared" si="61"/>
        <v>19.659701492537334</v>
      </c>
      <c r="G170" s="54">
        <f t="shared" si="62"/>
        <v>37.275675675675863</v>
      </c>
      <c r="H170" s="54">
        <f t="shared" si="63"/>
        <v>11.599999999999975</v>
      </c>
      <c r="I170" s="54">
        <f t="shared" si="64"/>
        <v>11.599999999999975</v>
      </c>
      <c r="J170" s="54">
        <f t="shared" si="65"/>
        <v>11.599999999999975</v>
      </c>
      <c r="K170" s="54">
        <f t="shared" si="66"/>
        <v>11.599999999999975</v>
      </c>
      <c r="L170" s="54">
        <f t="shared" si="67"/>
        <v>11.599999999999975</v>
      </c>
      <c r="M170" s="54">
        <f t="shared" si="68"/>
        <v>24.320848056537208</v>
      </c>
      <c r="N170" s="54">
        <f t="shared" si="69"/>
        <v>11.599999999999975</v>
      </c>
      <c r="O170" s="54">
        <f t="shared" si="70"/>
        <v>11.599999999999975</v>
      </c>
      <c r="P170" s="54">
        <f t="shared" si="71"/>
        <v>24.400000000000109</v>
      </c>
      <c r="Q170" s="54">
        <f t="shared" si="72"/>
        <v>11.599999999999975</v>
      </c>
      <c r="R170" s="54">
        <f t="shared" si="73"/>
        <v>21.356097560975662</v>
      </c>
      <c r="S170" s="54">
        <f t="shared" si="74"/>
        <v>11.599999999999975</v>
      </c>
      <c r="T170" s="54">
        <f t="shared" si="75"/>
        <v>11.599999999999975</v>
      </c>
      <c r="U170" s="54">
        <f t="shared" si="76"/>
        <v>11.599999999999975</v>
      </c>
      <c r="V170" s="54">
        <f t="shared" si="77"/>
        <v>11.599999999999975</v>
      </c>
      <c r="W170" s="54">
        <f t="shared" si="78"/>
        <v>11.599999999999975</v>
      </c>
      <c r="X170" s="54">
        <f t="shared" si="79"/>
        <v>11.599999999999975</v>
      </c>
      <c r="Y170" s="54">
        <f t="shared" si="80"/>
        <v>22.846943765281281</v>
      </c>
      <c r="Z170" s="54">
        <f t="shared" si="81"/>
        <v>11.599999999999975</v>
      </c>
      <c r="AA170" s="54">
        <f t="shared" si="82"/>
        <v>24.345098039215806</v>
      </c>
      <c r="AB170" s="54">
        <f t="shared" si="83"/>
        <v>21.356097560975662</v>
      </c>
      <c r="AC170" s="54">
        <f t="shared" si="84"/>
        <v>11.599999999999975</v>
      </c>
      <c r="AD170" s="54">
        <f t="shared" si="85"/>
        <v>23.390878754171389</v>
      </c>
      <c r="AE170" s="49"/>
      <c r="AF170" s="54"/>
      <c r="AG170" s="54"/>
      <c r="AI170" s="54">
        <f t="shared" si="86"/>
        <v>11.599999999999975</v>
      </c>
      <c r="AJ170" s="54">
        <f t="shared" si="87"/>
        <v>166</v>
      </c>
    </row>
    <row r="171" spans="2:36" hidden="1" x14ac:dyDescent="0.25">
      <c r="B171" s="51"/>
      <c r="C171" s="51"/>
      <c r="D171" s="51"/>
      <c r="E171" s="54">
        <v>167</v>
      </c>
      <c r="F171" s="54">
        <f t="shared" si="61"/>
        <v>19.759701492537335</v>
      </c>
      <c r="G171" s="54">
        <f t="shared" si="62"/>
        <v>37.375675675675865</v>
      </c>
      <c r="H171" s="54">
        <f t="shared" si="63"/>
        <v>11.699999999999974</v>
      </c>
      <c r="I171" s="54">
        <f t="shared" si="64"/>
        <v>11.699999999999974</v>
      </c>
      <c r="J171" s="54">
        <f t="shared" si="65"/>
        <v>11.699999999999974</v>
      </c>
      <c r="K171" s="54">
        <f t="shared" si="66"/>
        <v>11.699999999999974</v>
      </c>
      <c r="L171" s="54">
        <f t="shared" si="67"/>
        <v>11.699999999999974</v>
      </c>
      <c r="M171" s="54">
        <f t="shared" si="68"/>
        <v>24.42084805653721</v>
      </c>
      <c r="N171" s="54">
        <f t="shared" si="69"/>
        <v>11.699999999999974</v>
      </c>
      <c r="O171" s="54">
        <f t="shared" si="70"/>
        <v>11.699999999999974</v>
      </c>
      <c r="P171" s="54">
        <f t="shared" si="71"/>
        <v>24.50000000000011</v>
      </c>
      <c r="Q171" s="54">
        <f t="shared" si="72"/>
        <v>11.699999999999974</v>
      </c>
      <c r="R171" s="54">
        <f t="shared" si="73"/>
        <v>21.456097560975664</v>
      </c>
      <c r="S171" s="54">
        <f t="shared" si="74"/>
        <v>11.699999999999974</v>
      </c>
      <c r="T171" s="54">
        <f t="shared" si="75"/>
        <v>11.699999999999974</v>
      </c>
      <c r="U171" s="54">
        <f t="shared" si="76"/>
        <v>11.699999999999974</v>
      </c>
      <c r="V171" s="54">
        <f t="shared" si="77"/>
        <v>11.699999999999974</v>
      </c>
      <c r="W171" s="54">
        <f t="shared" si="78"/>
        <v>11.699999999999974</v>
      </c>
      <c r="X171" s="54">
        <f t="shared" si="79"/>
        <v>11.699999999999974</v>
      </c>
      <c r="Y171" s="54">
        <f t="shared" si="80"/>
        <v>22.946943765281283</v>
      </c>
      <c r="Z171" s="54">
        <f t="shared" si="81"/>
        <v>11.699999999999974</v>
      </c>
      <c r="AA171" s="54">
        <f t="shared" si="82"/>
        <v>24.445098039215807</v>
      </c>
      <c r="AB171" s="54">
        <f t="shared" si="83"/>
        <v>21.456097560975664</v>
      </c>
      <c r="AC171" s="54">
        <f t="shared" si="84"/>
        <v>11.699999999999974</v>
      </c>
      <c r="AD171" s="54">
        <f t="shared" si="85"/>
        <v>23.490878754171391</v>
      </c>
      <c r="AE171" s="49"/>
      <c r="AF171" s="54"/>
      <c r="AG171" s="54"/>
      <c r="AI171" s="54">
        <f t="shared" si="86"/>
        <v>11.699999999999974</v>
      </c>
      <c r="AJ171" s="54">
        <f t="shared" si="87"/>
        <v>167</v>
      </c>
    </row>
    <row r="172" spans="2:36" hidden="1" x14ac:dyDescent="0.25">
      <c r="B172" s="51"/>
      <c r="C172" s="51"/>
      <c r="D172" s="51"/>
      <c r="E172" s="54">
        <v>168</v>
      </c>
      <c r="F172" s="54">
        <f t="shared" si="61"/>
        <v>19.859701492537337</v>
      </c>
      <c r="G172" s="54">
        <f t="shared" si="62"/>
        <v>37.475675675675866</v>
      </c>
      <c r="H172" s="54">
        <f t="shared" si="63"/>
        <v>11.799999999999974</v>
      </c>
      <c r="I172" s="54">
        <f t="shared" si="64"/>
        <v>11.799999999999974</v>
      </c>
      <c r="J172" s="54">
        <f t="shared" si="65"/>
        <v>11.799999999999974</v>
      </c>
      <c r="K172" s="54">
        <f t="shared" si="66"/>
        <v>11.799999999999974</v>
      </c>
      <c r="L172" s="54">
        <f t="shared" si="67"/>
        <v>11.799999999999974</v>
      </c>
      <c r="M172" s="54">
        <f t="shared" si="68"/>
        <v>24.520848056537211</v>
      </c>
      <c r="N172" s="54">
        <f t="shared" si="69"/>
        <v>11.799999999999974</v>
      </c>
      <c r="O172" s="54">
        <f t="shared" si="70"/>
        <v>11.799999999999974</v>
      </c>
      <c r="P172" s="54">
        <f t="shared" si="71"/>
        <v>24.600000000000112</v>
      </c>
      <c r="Q172" s="54">
        <f t="shared" si="72"/>
        <v>11.799999999999974</v>
      </c>
      <c r="R172" s="54">
        <f t="shared" si="73"/>
        <v>21.556097560975665</v>
      </c>
      <c r="S172" s="54">
        <f t="shared" si="74"/>
        <v>11.799999999999974</v>
      </c>
      <c r="T172" s="54">
        <f t="shared" si="75"/>
        <v>11.799999999999974</v>
      </c>
      <c r="U172" s="54">
        <f t="shared" si="76"/>
        <v>11.799999999999974</v>
      </c>
      <c r="V172" s="54">
        <f t="shared" si="77"/>
        <v>11.799999999999974</v>
      </c>
      <c r="W172" s="54">
        <f t="shared" si="78"/>
        <v>11.799999999999974</v>
      </c>
      <c r="X172" s="54">
        <f t="shared" si="79"/>
        <v>11.799999999999974</v>
      </c>
      <c r="Y172" s="54">
        <f t="shared" si="80"/>
        <v>23.046943765281284</v>
      </c>
      <c r="Z172" s="54">
        <f t="shared" si="81"/>
        <v>11.799999999999974</v>
      </c>
      <c r="AA172" s="54">
        <f t="shared" si="82"/>
        <v>24.545098039215809</v>
      </c>
      <c r="AB172" s="54">
        <f t="shared" si="83"/>
        <v>21.556097560975665</v>
      </c>
      <c r="AC172" s="54">
        <f t="shared" si="84"/>
        <v>11.799999999999974</v>
      </c>
      <c r="AD172" s="54">
        <f t="shared" si="85"/>
        <v>23.590878754171392</v>
      </c>
      <c r="AE172" s="49"/>
      <c r="AF172" s="54"/>
      <c r="AG172" s="54"/>
      <c r="AI172" s="54">
        <f t="shared" si="86"/>
        <v>11.799999999999974</v>
      </c>
      <c r="AJ172" s="54">
        <f t="shared" si="87"/>
        <v>168</v>
      </c>
    </row>
    <row r="173" spans="2:36" hidden="1" x14ac:dyDescent="0.25">
      <c r="B173" s="51"/>
      <c r="C173" s="51"/>
      <c r="D173" s="51"/>
      <c r="E173" s="54">
        <v>169</v>
      </c>
      <c r="F173" s="54">
        <f t="shared" si="61"/>
        <v>19.959701492537338</v>
      </c>
      <c r="G173" s="54">
        <f t="shared" si="62"/>
        <v>37.575675675675868</v>
      </c>
      <c r="H173" s="54">
        <f t="shared" si="63"/>
        <v>11.899999999999974</v>
      </c>
      <c r="I173" s="54">
        <f t="shared" si="64"/>
        <v>11.899999999999974</v>
      </c>
      <c r="J173" s="54">
        <f t="shared" si="65"/>
        <v>11.899999999999974</v>
      </c>
      <c r="K173" s="54">
        <f t="shared" si="66"/>
        <v>11.899999999999974</v>
      </c>
      <c r="L173" s="54">
        <f t="shared" si="67"/>
        <v>11.899999999999974</v>
      </c>
      <c r="M173" s="54">
        <f t="shared" si="68"/>
        <v>24.620848056537213</v>
      </c>
      <c r="N173" s="54">
        <f t="shared" si="69"/>
        <v>11.899999999999974</v>
      </c>
      <c r="O173" s="54">
        <f t="shared" si="70"/>
        <v>11.899999999999974</v>
      </c>
      <c r="P173" s="54">
        <f t="shared" si="71"/>
        <v>24.700000000000113</v>
      </c>
      <c r="Q173" s="54">
        <f t="shared" si="72"/>
        <v>11.899999999999974</v>
      </c>
      <c r="R173" s="54">
        <f t="shared" si="73"/>
        <v>21.656097560975667</v>
      </c>
      <c r="S173" s="54">
        <f t="shared" si="74"/>
        <v>11.899999999999974</v>
      </c>
      <c r="T173" s="54">
        <f t="shared" si="75"/>
        <v>11.899999999999974</v>
      </c>
      <c r="U173" s="54">
        <f t="shared" si="76"/>
        <v>11.899999999999974</v>
      </c>
      <c r="V173" s="54">
        <f t="shared" si="77"/>
        <v>11.899999999999974</v>
      </c>
      <c r="W173" s="54">
        <f t="shared" si="78"/>
        <v>11.899999999999974</v>
      </c>
      <c r="X173" s="54">
        <f t="shared" si="79"/>
        <v>11.899999999999974</v>
      </c>
      <c r="Y173" s="54">
        <f t="shared" si="80"/>
        <v>23.146943765281286</v>
      </c>
      <c r="Z173" s="54">
        <f t="shared" si="81"/>
        <v>11.899999999999974</v>
      </c>
      <c r="AA173" s="54">
        <f t="shared" si="82"/>
        <v>24.64509803921581</v>
      </c>
      <c r="AB173" s="54">
        <f t="shared" si="83"/>
        <v>21.656097560975667</v>
      </c>
      <c r="AC173" s="54">
        <f t="shared" si="84"/>
        <v>11.899999999999974</v>
      </c>
      <c r="AD173" s="54">
        <f t="shared" si="85"/>
        <v>23.690878754171393</v>
      </c>
      <c r="AE173" s="49"/>
      <c r="AF173" s="54"/>
      <c r="AG173" s="54"/>
      <c r="AI173" s="54">
        <f t="shared" si="86"/>
        <v>11.899999999999974</v>
      </c>
      <c r="AJ173" s="54">
        <f t="shared" si="87"/>
        <v>169</v>
      </c>
    </row>
    <row r="174" spans="2:36" hidden="1" x14ac:dyDescent="0.25">
      <c r="B174" s="51"/>
      <c r="C174" s="51"/>
      <c r="D174" s="51"/>
      <c r="E174" s="54">
        <v>170</v>
      </c>
      <c r="F174" s="54">
        <f t="shared" si="61"/>
        <v>20.059701492537339</v>
      </c>
      <c r="G174" s="54">
        <f t="shared" si="62"/>
        <v>37.675675675675869</v>
      </c>
      <c r="H174" s="54">
        <f t="shared" si="63"/>
        <v>11.999999999999973</v>
      </c>
      <c r="I174" s="54">
        <f t="shared" si="64"/>
        <v>11.999999999999973</v>
      </c>
      <c r="J174" s="54">
        <f t="shared" si="65"/>
        <v>11.999999999999973</v>
      </c>
      <c r="K174" s="54">
        <f t="shared" si="66"/>
        <v>11.999999999999973</v>
      </c>
      <c r="L174" s="54">
        <f t="shared" si="67"/>
        <v>11.999999999999973</v>
      </c>
      <c r="M174" s="54">
        <f t="shared" si="68"/>
        <v>24.720848056537214</v>
      </c>
      <c r="N174" s="54">
        <f t="shared" si="69"/>
        <v>11.999999999999973</v>
      </c>
      <c r="O174" s="54">
        <f t="shared" si="70"/>
        <v>11.999999999999973</v>
      </c>
      <c r="P174" s="54">
        <f t="shared" si="71"/>
        <v>24.800000000000114</v>
      </c>
      <c r="Q174" s="54">
        <f t="shared" si="72"/>
        <v>11.999999999999973</v>
      </c>
      <c r="R174" s="54">
        <f t="shared" si="73"/>
        <v>21.756097560975668</v>
      </c>
      <c r="S174" s="54">
        <f t="shared" si="74"/>
        <v>11.999999999999973</v>
      </c>
      <c r="T174" s="54">
        <f t="shared" si="75"/>
        <v>11.999999999999973</v>
      </c>
      <c r="U174" s="54">
        <f t="shared" si="76"/>
        <v>11.999999999999973</v>
      </c>
      <c r="V174" s="54">
        <f t="shared" si="77"/>
        <v>11.999999999999973</v>
      </c>
      <c r="W174" s="54">
        <f t="shared" si="78"/>
        <v>11.999999999999973</v>
      </c>
      <c r="X174" s="54">
        <f t="shared" si="79"/>
        <v>11.999999999999973</v>
      </c>
      <c r="Y174" s="54">
        <f t="shared" si="80"/>
        <v>23.246943765281287</v>
      </c>
      <c r="Z174" s="54">
        <f t="shared" si="81"/>
        <v>11.999999999999973</v>
      </c>
      <c r="AA174" s="54">
        <f t="shared" si="82"/>
        <v>24.745098039215812</v>
      </c>
      <c r="AB174" s="54">
        <f t="shared" si="83"/>
        <v>21.756097560975668</v>
      </c>
      <c r="AC174" s="54">
        <f t="shared" si="84"/>
        <v>11.999999999999973</v>
      </c>
      <c r="AD174" s="54">
        <f t="shared" si="85"/>
        <v>23.790878754171395</v>
      </c>
      <c r="AE174" s="49"/>
      <c r="AF174" s="54"/>
      <c r="AG174" s="54"/>
      <c r="AI174" s="54">
        <f t="shared" si="86"/>
        <v>11.999999999999973</v>
      </c>
      <c r="AJ174" s="54">
        <f t="shared" si="87"/>
        <v>170</v>
      </c>
    </row>
    <row r="175" spans="2:36" hidden="1" x14ac:dyDescent="0.25">
      <c r="B175" s="51"/>
      <c r="C175" s="51"/>
      <c r="D175" s="51"/>
      <c r="E175" s="54">
        <v>171</v>
      </c>
      <c r="F175" s="54">
        <f t="shared" si="61"/>
        <v>20.159701492537341</v>
      </c>
      <c r="G175" s="54">
        <f t="shared" si="62"/>
        <v>37.77567567567587</v>
      </c>
      <c r="H175" s="54">
        <f t="shared" si="63"/>
        <v>12.099999999999973</v>
      </c>
      <c r="I175" s="54">
        <f t="shared" si="64"/>
        <v>12.099999999999973</v>
      </c>
      <c r="J175" s="54">
        <f t="shared" si="65"/>
        <v>12.099999999999973</v>
      </c>
      <c r="K175" s="54">
        <f t="shared" si="66"/>
        <v>12.099999999999973</v>
      </c>
      <c r="L175" s="54">
        <f t="shared" si="67"/>
        <v>12.099999999999973</v>
      </c>
      <c r="M175" s="54">
        <f t="shared" si="68"/>
        <v>24.820848056537216</v>
      </c>
      <c r="N175" s="54">
        <f t="shared" si="69"/>
        <v>12.099999999999973</v>
      </c>
      <c r="O175" s="54">
        <f t="shared" si="70"/>
        <v>12.099999999999973</v>
      </c>
      <c r="P175" s="54">
        <f t="shared" si="71"/>
        <v>24.900000000000116</v>
      </c>
      <c r="Q175" s="54">
        <f t="shared" si="72"/>
        <v>12.099999999999973</v>
      </c>
      <c r="R175" s="54">
        <f t="shared" si="73"/>
        <v>21.85609756097567</v>
      </c>
      <c r="S175" s="54">
        <f t="shared" si="74"/>
        <v>12.099999999999973</v>
      </c>
      <c r="T175" s="54">
        <f t="shared" si="75"/>
        <v>12.099999999999973</v>
      </c>
      <c r="U175" s="54">
        <f t="shared" si="76"/>
        <v>12.099999999999973</v>
      </c>
      <c r="V175" s="54">
        <f t="shared" si="77"/>
        <v>12.099999999999973</v>
      </c>
      <c r="W175" s="54">
        <f t="shared" si="78"/>
        <v>12.099999999999973</v>
      </c>
      <c r="X175" s="54">
        <f t="shared" si="79"/>
        <v>12.099999999999973</v>
      </c>
      <c r="Y175" s="54">
        <f t="shared" si="80"/>
        <v>23.346943765281289</v>
      </c>
      <c r="Z175" s="54">
        <f t="shared" si="81"/>
        <v>12.099999999999973</v>
      </c>
      <c r="AA175" s="54">
        <f t="shared" si="82"/>
        <v>24.845098039215813</v>
      </c>
      <c r="AB175" s="54">
        <f t="shared" si="83"/>
        <v>21.85609756097567</v>
      </c>
      <c r="AC175" s="54">
        <f t="shared" si="84"/>
        <v>12.099999999999973</v>
      </c>
      <c r="AD175" s="54">
        <f t="shared" si="85"/>
        <v>23.890878754171396</v>
      </c>
      <c r="AE175" s="49"/>
      <c r="AF175" s="54"/>
      <c r="AG175" s="54"/>
      <c r="AI175" s="54">
        <f t="shared" si="86"/>
        <v>12.099999999999973</v>
      </c>
      <c r="AJ175" s="54">
        <f t="shared" si="87"/>
        <v>171</v>
      </c>
    </row>
    <row r="176" spans="2:36" hidden="1" x14ac:dyDescent="0.25">
      <c r="B176" s="51"/>
      <c r="C176" s="51"/>
      <c r="D176" s="51"/>
      <c r="E176" s="54">
        <v>172</v>
      </c>
      <c r="F176" s="54">
        <f t="shared" si="61"/>
        <v>20.259701492537342</v>
      </c>
      <c r="G176" s="54">
        <f t="shared" si="62"/>
        <v>37.875675675675872</v>
      </c>
      <c r="H176" s="54">
        <f t="shared" si="63"/>
        <v>12.199999999999973</v>
      </c>
      <c r="I176" s="54">
        <f t="shared" si="64"/>
        <v>12.199999999999973</v>
      </c>
      <c r="J176" s="54">
        <f t="shared" si="65"/>
        <v>12.199999999999973</v>
      </c>
      <c r="K176" s="54">
        <f t="shared" si="66"/>
        <v>12.199999999999973</v>
      </c>
      <c r="L176" s="54">
        <f t="shared" si="67"/>
        <v>12.199999999999973</v>
      </c>
      <c r="M176" s="54">
        <f t="shared" si="68"/>
        <v>24.920848056537217</v>
      </c>
      <c r="N176" s="54">
        <f t="shared" si="69"/>
        <v>12.199999999999973</v>
      </c>
      <c r="O176" s="54">
        <f t="shared" si="70"/>
        <v>12.199999999999973</v>
      </c>
      <c r="P176" s="54">
        <f t="shared" si="71"/>
        <v>25.000000000000117</v>
      </c>
      <c r="Q176" s="54">
        <f t="shared" si="72"/>
        <v>12.199999999999973</v>
      </c>
      <c r="R176" s="54">
        <f t="shared" si="73"/>
        <v>21.956097560975671</v>
      </c>
      <c r="S176" s="54">
        <f t="shared" si="74"/>
        <v>12.199999999999973</v>
      </c>
      <c r="T176" s="54">
        <f t="shared" si="75"/>
        <v>12.199999999999973</v>
      </c>
      <c r="U176" s="54">
        <f t="shared" si="76"/>
        <v>12.199999999999973</v>
      </c>
      <c r="V176" s="54">
        <f t="shared" si="77"/>
        <v>12.199999999999973</v>
      </c>
      <c r="W176" s="54">
        <f t="shared" si="78"/>
        <v>12.199999999999973</v>
      </c>
      <c r="X176" s="54">
        <f t="shared" si="79"/>
        <v>12.199999999999973</v>
      </c>
      <c r="Y176" s="54">
        <f t="shared" si="80"/>
        <v>23.44694376528129</v>
      </c>
      <c r="Z176" s="54">
        <f t="shared" si="81"/>
        <v>12.199999999999973</v>
      </c>
      <c r="AA176" s="54">
        <f t="shared" si="82"/>
        <v>24.945098039215814</v>
      </c>
      <c r="AB176" s="54">
        <f t="shared" si="83"/>
        <v>21.956097560975671</v>
      </c>
      <c r="AC176" s="54">
        <f t="shared" si="84"/>
        <v>12.199999999999973</v>
      </c>
      <c r="AD176" s="54">
        <f t="shared" si="85"/>
        <v>23.990878754171398</v>
      </c>
      <c r="AE176" s="49"/>
      <c r="AF176" s="54"/>
      <c r="AG176" s="54"/>
      <c r="AI176" s="54">
        <f t="shared" si="86"/>
        <v>12.199999999999973</v>
      </c>
      <c r="AJ176" s="54">
        <f t="shared" si="87"/>
        <v>172</v>
      </c>
    </row>
    <row r="177" spans="2:36" hidden="1" x14ac:dyDescent="0.25">
      <c r="B177" s="51"/>
      <c r="C177" s="51"/>
      <c r="D177" s="51"/>
      <c r="E177" s="54">
        <v>173</v>
      </c>
      <c r="F177" s="54">
        <f t="shared" si="61"/>
        <v>20.359701492537344</v>
      </c>
      <c r="G177" s="54">
        <f t="shared" si="62"/>
        <v>37.975675675675873</v>
      </c>
      <c r="H177" s="54">
        <f t="shared" si="63"/>
        <v>12.299999999999972</v>
      </c>
      <c r="I177" s="54">
        <f t="shared" si="64"/>
        <v>12.299999999999972</v>
      </c>
      <c r="J177" s="54">
        <f t="shared" si="65"/>
        <v>12.299999999999972</v>
      </c>
      <c r="K177" s="54">
        <f t="shared" si="66"/>
        <v>12.299999999999972</v>
      </c>
      <c r="L177" s="54">
        <f t="shared" si="67"/>
        <v>12.299999999999972</v>
      </c>
      <c r="M177" s="54">
        <f t="shared" si="68"/>
        <v>25.020848056537218</v>
      </c>
      <c r="N177" s="54">
        <f t="shared" si="69"/>
        <v>12.299999999999972</v>
      </c>
      <c r="O177" s="54">
        <f t="shared" si="70"/>
        <v>12.299999999999972</v>
      </c>
      <c r="P177" s="54">
        <f t="shared" si="71"/>
        <v>25.100000000000119</v>
      </c>
      <c r="Q177" s="54">
        <f t="shared" si="72"/>
        <v>12.299999999999972</v>
      </c>
      <c r="R177" s="54">
        <f t="shared" si="73"/>
        <v>22.056097560975672</v>
      </c>
      <c r="S177" s="54">
        <f t="shared" si="74"/>
        <v>12.299999999999972</v>
      </c>
      <c r="T177" s="54">
        <f t="shared" si="75"/>
        <v>12.299999999999972</v>
      </c>
      <c r="U177" s="54">
        <f t="shared" si="76"/>
        <v>12.299999999999972</v>
      </c>
      <c r="V177" s="54">
        <f t="shared" si="77"/>
        <v>12.299999999999972</v>
      </c>
      <c r="W177" s="54">
        <f t="shared" si="78"/>
        <v>12.299999999999972</v>
      </c>
      <c r="X177" s="54">
        <f t="shared" si="79"/>
        <v>12.299999999999972</v>
      </c>
      <c r="Y177" s="54">
        <f t="shared" si="80"/>
        <v>23.546943765281291</v>
      </c>
      <c r="Z177" s="54">
        <f t="shared" si="81"/>
        <v>12.299999999999972</v>
      </c>
      <c r="AA177" s="54">
        <f t="shared" si="82"/>
        <v>25.045098039215816</v>
      </c>
      <c r="AB177" s="54">
        <f t="shared" si="83"/>
        <v>22.056097560975672</v>
      </c>
      <c r="AC177" s="54">
        <f t="shared" si="84"/>
        <v>12.299999999999972</v>
      </c>
      <c r="AD177" s="54">
        <f t="shared" si="85"/>
        <v>24.090878754171399</v>
      </c>
      <c r="AE177" s="49"/>
      <c r="AF177" s="54"/>
      <c r="AG177" s="54"/>
      <c r="AI177" s="54">
        <f t="shared" si="86"/>
        <v>12.299999999999972</v>
      </c>
      <c r="AJ177" s="54">
        <f t="shared" si="87"/>
        <v>173</v>
      </c>
    </row>
    <row r="178" spans="2:36" hidden="1" x14ac:dyDescent="0.25">
      <c r="B178" s="51"/>
      <c r="C178" s="51"/>
      <c r="D178" s="51"/>
      <c r="E178" s="54">
        <v>174</v>
      </c>
      <c r="F178" s="54">
        <f t="shared" si="61"/>
        <v>20.459701492537345</v>
      </c>
      <c r="G178" s="54">
        <f t="shared" si="62"/>
        <v>38.075675675675875</v>
      </c>
      <c r="H178" s="54">
        <f t="shared" si="63"/>
        <v>12.399999999999972</v>
      </c>
      <c r="I178" s="54">
        <f t="shared" si="64"/>
        <v>12.399999999999972</v>
      </c>
      <c r="J178" s="54">
        <f t="shared" si="65"/>
        <v>12.399999999999972</v>
      </c>
      <c r="K178" s="54">
        <f t="shared" si="66"/>
        <v>12.399999999999972</v>
      </c>
      <c r="L178" s="54">
        <f t="shared" si="67"/>
        <v>12.399999999999972</v>
      </c>
      <c r="M178" s="54">
        <f t="shared" si="68"/>
        <v>25.12084805653722</v>
      </c>
      <c r="N178" s="54">
        <f t="shared" si="69"/>
        <v>12.399999999999972</v>
      </c>
      <c r="O178" s="54">
        <f t="shared" si="70"/>
        <v>12.399999999999972</v>
      </c>
      <c r="P178" s="54">
        <f t="shared" si="71"/>
        <v>25.20000000000012</v>
      </c>
      <c r="Q178" s="54">
        <f t="shared" si="72"/>
        <v>12.399999999999972</v>
      </c>
      <c r="R178" s="54">
        <f t="shared" si="73"/>
        <v>22.156097560975674</v>
      </c>
      <c r="S178" s="54">
        <f t="shared" si="74"/>
        <v>12.399999999999972</v>
      </c>
      <c r="T178" s="54">
        <f t="shared" si="75"/>
        <v>12.399999999999972</v>
      </c>
      <c r="U178" s="54">
        <f t="shared" si="76"/>
        <v>12.399999999999972</v>
      </c>
      <c r="V178" s="54">
        <f t="shared" si="77"/>
        <v>12.399999999999972</v>
      </c>
      <c r="W178" s="54">
        <f t="shared" si="78"/>
        <v>12.399999999999972</v>
      </c>
      <c r="X178" s="54">
        <f t="shared" si="79"/>
        <v>12.399999999999972</v>
      </c>
      <c r="Y178" s="54">
        <f t="shared" si="80"/>
        <v>23.646943765281293</v>
      </c>
      <c r="Z178" s="54">
        <f t="shared" si="81"/>
        <v>12.399999999999972</v>
      </c>
      <c r="AA178" s="54">
        <f t="shared" si="82"/>
        <v>25.145098039215817</v>
      </c>
      <c r="AB178" s="54">
        <f t="shared" si="83"/>
        <v>22.156097560975674</v>
      </c>
      <c r="AC178" s="54">
        <f t="shared" si="84"/>
        <v>12.399999999999972</v>
      </c>
      <c r="AD178" s="54">
        <f t="shared" si="85"/>
        <v>24.190878754171401</v>
      </c>
      <c r="AE178" s="49"/>
      <c r="AF178" s="54"/>
      <c r="AG178" s="54"/>
      <c r="AI178" s="54">
        <f t="shared" si="86"/>
        <v>12.399999999999972</v>
      </c>
      <c r="AJ178" s="54">
        <f t="shared" si="87"/>
        <v>174</v>
      </c>
    </row>
    <row r="179" spans="2:36" hidden="1" x14ac:dyDescent="0.25">
      <c r="B179" s="51"/>
      <c r="C179" s="51"/>
      <c r="D179" s="51"/>
      <c r="E179" s="54">
        <v>175</v>
      </c>
      <c r="F179" s="54">
        <f t="shared" si="61"/>
        <v>20.559701492537346</v>
      </c>
      <c r="G179" s="54">
        <f t="shared" si="62"/>
        <v>38.175675675675876</v>
      </c>
      <c r="H179" s="54">
        <f t="shared" si="63"/>
        <v>12.499999999999972</v>
      </c>
      <c r="I179" s="54">
        <f t="shared" si="64"/>
        <v>12.499999999999972</v>
      </c>
      <c r="J179" s="54">
        <f t="shared" si="65"/>
        <v>12.499999999999972</v>
      </c>
      <c r="K179" s="54">
        <f t="shared" si="66"/>
        <v>12.499999999999972</v>
      </c>
      <c r="L179" s="54">
        <f t="shared" si="67"/>
        <v>12.499999999999972</v>
      </c>
      <c r="M179" s="54">
        <f t="shared" si="68"/>
        <v>25.220848056537221</v>
      </c>
      <c r="N179" s="54">
        <f t="shared" si="69"/>
        <v>12.499999999999972</v>
      </c>
      <c r="O179" s="54">
        <f t="shared" si="70"/>
        <v>12.499999999999972</v>
      </c>
      <c r="P179" s="54">
        <f t="shared" si="71"/>
        <v>25.300000000000122</v>
      </c>
      <c r="Q179" s="54">
        <f t="shared" si="72"/>
        <v>12.499999999999972</v>
      </c>
      <c r="R179" s="54">
        <f t="shared" si="73"/>
        <v>22.256097560975675</v>
      </c>
      <c r="S179" s="54">
        <f t="shared" si="74"/>
        <v>12.499999999999972</v>
      </c>
      <c r="T179" s="54">
        <f t="shared" si="75"/>
        <v>12.499999999999972</v>
      </c>
      <c r="U179" s="54">
        <f t="shared" si="76"/>
        <v>12.499999999999972</v>
      </c>
      <c r="V179" s="54">
        <f t="shared" si="77"/>
        <v>12.499999999999972</v>
      </c>
      <c r="W179" s="54">
        <f t="shared" si="78"/>
        <v>12.499999999999972</v>
      </c>
      <c r="X179" s="54">
        <f t="shared" si="79"/>
        <v>12.499999999999972</v>
      </c>
      <c r="Y179" s="54">
        <f t="shared" si="80"/>
        <v>23.746943765281294</v>
      </c>
      <c r="Z179" s="54">
        <f t="shared" si="81"/>
        <v>12.499999999999972</v>
      </c>
      <c r="AA179" s="54">
        <f t="shared" si="82"/>
        <v>25.245098039215819</v>
      </c>
      <c r="AB179" s="54">
        <f t="shared" si="83"/>
        <v>22.256097560975675</v>
      </c>
      <c r="AC179" s="54">
        <f t="shared" si="84"/>
        <v>12.499999999999972</v>
      </c>
      <c r="AD179" s="54">
        <f t="shared" si="85"/>
        <v>24.290878754171402</v>
      </c>
      <c r="AE179" s="49"/>
      <c r="AF179" s="54"/>
      <c r="AG179" s="54"/>
      <c r="AI179" s="54">
        <f t="shared" si="86"/>
        <v>12.499999999999972</v>
      </c>
      <c r="AJ179" s="54">
        <f t="shared" si="87"/>
        <v>175</v>
      </c>
    </row>
    <row r="180" spans="2:36" hidden="1" x14ac:dyDescent="0.25">
      <c r="B180" s="51"/>
      <c r="C180" s="51"/>
      <c r="D180" s="51"/>
      <c r="E180" s="54">
        <v>176</v>
      </c>
      <c r="F180" s="54">
        <f t="shared" si="61"/>
        <v>20.659701492537348</v>
      </c>
      <c r="G180" s="54">
        <f t="shared" si="62"/>
        <v>38.275675675675878</v>
      </c>
      <c r="H180" s="54">
        <f t="shared" si="63"/>
        <v>12.599999999999971</v>
      </c>
      <c r="I180" s="54">
        <f t="shared" si="64"/>
        <v>12.599999999999971</v>
      </c>
      <c r="J180" s="54">
        <f t="shared" si="65"/>
        <v>12.599999999999971</v>
      </c>
      <c r="K180" s="54">
        <f t="shared" si="66"/>
        <v>12.599999999999971</v>
      </c>
      <c r="L180" s="54">
        <f t="shared" si="67"/>
        <v>12.599999999999971</v>
      </c>
      <c r="M180" s="54">
        <f t="shared" si="68"/>
        <v>25.320848056537223</v>
      </c>
      <c r="N180" s="54">
        <f t="shared" si="69"/>
        <v>12.599999999999971</v>
      </c>
      <c r="O180" s="54">
        <f t="shared" si="70"/>
        <v>12.599999999999971</v>
      </c>
      <c r="P180" s="54">
        <f t="shared" si="71"/>
        <v>25.400000000000123</v>
      </c>
      <c r="Q180" s="54">
        <f t="shared" si="72"/>
        <v>12.599999999999971</v>
      </c>
      <c r="R180" s="54">
        <f t="shared" si="73"/>
        <v>22.356097560975677</v>
      </c>
      <c r="S180" s="54">
        <f t="shared" si="74"/>
        <v>12.599999999999971</v>
      </c>
      <c r="T180" s="54">
        <f t="shared" si="75"/>
        <v>12.599999999999971</v>
      </c>
      <c r="U180" s="54">
        <f t="shared" si="76"/>
        <v>12.599999999999971</v>
      </c>
      <c r="V180" s="54">
        <f t="shared" si="77"/>
        <v>12.599999999999971</v>
      </c>
      <c r="W180" s="54">
        <f t="shared" si="78"/>
        <v>12.599999999999971</v>
      </c>
      <c r="X180" s="54">
        <f t="shared" si="79"/>
        <v>12.599999999999971</v>
      </c>
      <c r="Y180" s="54">
        <f t="shared" si="80"/>
        <v>23.846943765281296</v>
      </c>
      <c r="Z180" s="54">
        <f t="shared" si="81"/>
        <v>12.599999999999971</v>
      </c>
      <c r="AA180" s="54">
        <f t="shared" si="82"/>
        <v>25.34509803921582</v>
      </c>
      <c r="AB180" s="54">
        <f t="shared" si="83"/>
        <v>22.356097560975677</v>
      </c>
      <c r="AC180" s="54">
        <f t="shared" si="84"/>
        <v>12.599999999999971</v>
      </c>
      <c r="AD180" s="54">
        <f t="shared" si="85"/>
        <v>24.390878754171403</v>
      </c>
      <c r="AE180" s="49"/>
      <c r="AF180" s="54"/>
      <c r="AG180" s="54"/>
      <c r="AI180" s="54">
        <f t="shared" si="86"/>
        <v>12.599999999999971</v>
      </c>
      <c r="AJ180" s="54">
        <f t="shared" si="87"/>
        <v>176</v>
      </c>
    </row>
    <row r="181" spans="2:36" hidden="1" x14ac:dyDescent="0.25">
      <c r="B181" s="51"/>
      <c r="C181" s="51"/>
      <c r="D181" s="51"/>
      <c r="E181" s="54">
        <v>177</v>
      </c>
      <c r="F181" s="54">
        <f t="shared" si="61"/>
        <v>20.759701492537349</v>
      </c>
      <c r="G181" s="54">
        <f t="shared" si="62"/>
        <v>38.375675675675879</v>
      </c>
      <c r="H181" s="54">
        <f t="shared" si="63"/>
        <v>12.699999999999971</v>
      </c>
      <c r="I181" s="54">
        <f t="shared" si="64"/>
        <v>12.699999999999971</v>
      </c>
      <c r="J181" s="54">
        <f t="shared" si="65"/>
        <v>12.699999999999971</v>
      </c>
      <c r="K181" s="54">
        <f t="shared" si="66"/>
        <v>12.699999999999971</v>
      </c>
      <c r="L181" s="54">
        <f t="shared" si="67"/>
        <v>12.699999999999971</v>
      </c>
      <c r="M181" s="54">
        <f t="shared" si="68"/>
        <v>25.420848056537224</v>
      </c>
      <c r="N181" s="54">
        <f t="shared" si="69"/>
        <v>12.699999999999971</v>
      </c>
      <c r="O181" s="54">
        <f t="shared" si="70"/>
        <v>12.699999999999971</v>
      </c>
      <c r="P181" s="54">
        <f t="shared" si="71"/>
        <v>25.500000000000124</v>
      </c>
      <c r="Q181" s="54">
        <f t="shared" si="72"/>
        <v>12.699999999999971</v>
      </c>
      <c r="R181" s="54">
        <f t="shared" si="73"/>
        <v>22.456097560975678</v>
      </c>
      <c r="S181" s="54">
        <f t="shared" si="74"/>
        <v>12.699999999999971</v>
      </c>
      <c r="T181" s="54">
        <f t="shared" si="75"/>
        <v>12.699999999999971</v>
      </c>
      <c r="U181" s="54">
        <f t="shared" si="76"/>
        <v>12.699999999999971</v>
      </c>
      <c r="V181" s="54">
        <f t="shared" si="77"/>
        <v>12.699999999999971</v>
      </c>
      <c r="W181" s="54">
        <f t="shared" si="78"/>
        <v>12.699999999999971</v>
      </c>
      <c r="X181" s="54">
        <f t="shared" si="79"/>
        <v>12.699999999999971</v>
      </c>
      <c r="Y181" s="54">
        <f t="shared" si="80"/>
        <v>23.946943765281297</v>
      </c>
      <c r="Z181" s="54">
        <f t="shared" si="81"/>
        <v>12.699999999999971</v>
      </c>
      <c r="AA181" s="54">
        <f t="shared" si="82"/>
        <v>25.445098039215821</v>
      </c>
      <c r="AB181" s="54">
        <f t="shared" si="83"/>
        <v>22.456097560975678</v>
      </c>
      <c r="AC181" s="54">
        <f t="shared" si="84"/>
        <v>12.699999999999971</v>
      </c>
      <c r="AD181" s="54">
        <f t="shared" si="85"/>
        <v>24.490878754171405</v>
      </c>
      <c r="AE181" s="49"/>
      <c r="AF181" s="54"/>
      <c r="AG181" s="54"/>
      <c r="AI181" s="54">
        <f t="shared" si="86"/>
        <v>12.699999999999971</v>
      </c>
      <c r="AJ181" s="54">
        <f t="shared" si="87"/>
        <v>177</v>
      </c>
    </row>
    <row r="182" spans="2:36" hidden="1" x14ac:dyDescent="0.25">
      <c r="B182" s="51"/>
      <c r="C182" s="51"/>
      <c r="D182" s="51"/>
      <c r="E182" s="54">
        <v>178</v>
      </c>
      <c r="F182" s="54">
        <f t="shared" si="61"/>
        <v>20.859701492537351</v>
      </c>
      <c r="G182" s="54">
        <f t="shared" si="62"/>
        <v>38.47567567567588</v>
      </c>
      <c r="H182" s="54">
        <f t="shared" si="63"/>
        <v>12.799999999999971</v>
      </c>
      <c r="I182" s="54">
        <f t="shared" si="64"/>
        <v>12.799999999999971</v>
      </c>
      <c r="J182" s="54">
        <f t="shared" si="65"/>
        <v>12.799999999999971</v>
      </c>
      <c r="K182" s="54">
        <f t="shared" si="66"/>
        <v>12.799999999999971</v>
      </c>
      <c r="L182" s="54">
        <f t="shared" si="67"/>
        <v>12.799999999999971</v>
      </c>
      <c r="M182" s="54">
        <f t="shared" si="68"/>
        <v>25.520848056537226</v>
      </c>
      <c r="N182" s="54">
        <f t="shared" si="69"/>
        <v>12.799999999999971</v>
      </c>
      <c r="O182" s="54">
        <f t="shared" si="70"/>
        <v>12.799999999999971</v>
      </c>
      <c r="P182" s="54">
        <f t="shared" si="71"/>
        <v>25.600000000000126</v>
      </c>
      <c r="Q182" s="54">
        <f t="shared" si="72"/>
        <v>12.799999999999971</v>
      </c>
      <c r="R182" s="54">
        <f t="shared" si="73"/>
        <v>22.55609756097568</v>
      </c>
      <c r="S182" s="54">
        <f t="shared" si="74"/>
        <v>12.799999999999971</v>
      </c>
      <c r="T182" s="54">
        <f t="shared" si="75"/>
        <v>12.799999999999971</v>
      </c>
      <c r="U182" s="54">
        <f t="shared" si="76"/>
        <v>12.799999999999971</v>
      </c>
      <c r="V182" s="54">
        <f t="shared" si="77"/>
        <v>12.799999999999971</v>
      </c>
      <c r="W182" s="54">
        <f t="shared" si="78"/>
        <v>12.799999999999971</v>
      </c>
      <c r="X182" s="54">
        <f t="shared" si="79"/>
        <v>12.799999999999971</v>
      </c>
      <c r="Y182" s="54">
        <f t="shared" si="80"/>
        <v>24.046943765281299</v>
      </c>
      <c r="Z182" s="54">
        <f t="shared" si="81"/>
        <v>12.799999999999971</v>
      </c>
      <c r="AA182" s="54">
        <f t="shared" si="82"/>
        <v>25.545098039215823</v>
      </c>
      <c r="AB182" s="54">
        <f t="shared" si="83"/>
        <v>22.55609756097568</v>
      </c>
      <c r="AC182" s="54">
        <f t="shared" si="84"/>
        <v>12.799999999999971</v>
      </c>
      <c r="AD182" s="54">
        <f t="shared" si="85"/>
        <v>24.590878754171406</v>
      </c>
      <c r="AE182" s="49"/>
      <c r="AF182" s="54"/>
      <c r="AG182" s="54"/>
      <c r="AI182" s="54">
        <f t="shared" si="86"/>
        <v>12.799999999999971</v>
      </c>
      <c r="AJ182" s="54">
        <f t="shared" si="87"/>
        <v>178</v>
      </c>
    </row>
    <row r="183" spans="2:36" hidden="1" x14ac:dyDescent="0.25">
      <c r="B183" s="51"/>
      <c r="C183" s="51"/>
      <c r="D183" s="51"/>
      <c r="E183" s="54">
        <v>179</v>
      </c>
      <c r="F183" s="54">
        <f t="shared" si="61"/>
        <v>20.959701492537352</v>
      </c>
      <c r="G183" s="54">
        <f t="shared" si="62"/>
        <v>38.575675675675882</v>
      </c>
      <c r="H183" s="54">
        <f t="shared" si="63"/>
        <v>12.89999999999997</v>
      </c>
      <c r="I183" s="54">
        <f t="shared" si="64"/>
        <v>12.89999999999997</v>
      </c>
      <c r="J183" s="54">
        <f t="shared" si="65"/>
        <v>12.89999999999997</v>
      </c>
      <c r="K183" s="54">
        <f t="shared" si="66"/>
        <v>12.89999999999997</v>
      </c>
      <c r="L183" s="54">
        <f t="shared" si="67"/>
        <v>12.89999999999997</v>
      </c>
      <c r="M183" s="54">
        <f t="shared" si="68"/>
        <v>25.620848056537227</v>
      </c>
      <c r="N183" s="54">
        <f t="shared" si="69"/>
        <v>12.89999999999997</v>
      </c>
      <c r="O183" s="54">
        <f t="shared" si="70"/>
        <v>12.89999999999997</v>
      </c>
      <c r="P183" s="54">
        <f t="shared" si="71"/>
        <v>25.700000000000127</v>
      </c>
      <c r="Q183" s="54">
        <f t="shared" si="72"/>
        <v>12.89999999999997</v>
      </c>
      <c r="R183" s="54">
        <f t="shared" si="73"/>
        <v>22.656097560975681</v>
      </c>
      <c r="S183" s="54">
        <f t="shared" si="74"/>
        <v>12.89999999999997</v>
      </c>
      <c r="T183" s="54">
        <f t="shared" si="75"/>
        <v>12.89999999999997</v>
      </c>
      <c r="U183" s="54">
        <f t="shared" si="76"/>
        <v>12.89999999999997</v>
      </c>
      <c r="V183" s="54">
        <f t="shared" si="77"/>
        <v>12.89999999999997</v>
      </c>
      <c r="W183" s="54">
        <f t="shared" si="78"/>
        <v>12.89999999999997</v>
      </c>
      <c r="X183" s="54">
        <f t="shared" si="79"/>
        <v>12.89999999999997</v>
      </c>
      <c r="Y183" s="54">
        <f t="shared" si="80"/>
        <v>24.1469437652813</v>
      </c>
      <c r="Z183" s="54">
        <f t="shared" si="81"/>
        <v>12.89999999999997</v>
      </c>
      <c r="AA183" s="54">
        <f t="shared" si="82"/>
        <v>25.645098039215824</v>
      </c>
      <c r="AB183" s="54">
        <f t="shared" si="83"/>
        <v>22.656097560975681</v>
      </c>
      <c r="AC183" s="54">
        <f t="shared" si="84"/>
        <v>12.89999999999997</v>
      </c>
      <c r="AD183" s="54">
        <f t="shared" si="85"/>
        <v>24.690878754171408</v>
      </c>
      <c r="AE183" s="49"/>
      <c r="AF183" s="54"/>
      <c r="AG183" s="54"/>
      <c r="AI183" s="54">
        <f t="shared" si="86"/>
        <v>12.89999999999997</v>
      </c>
      <c r="AJ183" s="54">
        <f t="shared" si="87"/>
        <v>179</v>
      </c>
    </row>
    <row r="184" spans="2:36" hidden="1" x14ac:dyDescent="0.25">
      <c r="B184" s="51"/>
      <c r="C184" s="51"/>
      <c r="D184" s="51"/>
      <c r="E184" s="54">
        <v>180</v>
      </c>
      <c r="F184" s="54">
        <f t="shared" si="61"/>
        <v>21.059701492537354</v>
      </c>
      <c r="G184" s="54">
        <f t="shared" si="62"/>
        <v>38.675675675675883</v>
      </c>
      <c r="H184" s="54">
        <f t="shared" si="63"/>
        <v>12.99999999999997</v>
      </c>
      <c r="I184" s="54">
        <f t="shared" si="64"/>
        <v>12.99999999999997</v>
      </c>
      <c r="J184" s="54">
        <f t="shared" si="65"/>
        <v>12.99999999999997</v>
      </c>
      <c r="K184" s="54">
        <f t="shared" si="66"/>
        <v>12.99999999999997</v>
      </c>
      <c r="L184" s="54">
        <f t="shared" si="67"/>
        <v>12.99999999999997</v>
      </c>
      <c r="M184" s="54">
        <f t="shared" si="68"/>
        <v>25.720848056537228</v>
      </c>
      <c r="N184" s="54">
        <f t="shared" si="69"/>
        <v>12.99999999999997</v>
      </c>
      <c r="O184" s="54">
        <f t="shared" si="70"/>
        <v>12.99999999999997</v>
      </c>
      <c r="P184" s="54">
        <f t="shared" si="71"/>
        <v>25.800000000000129</v>
      </c>
      <c r="Q184" s="54">
        <f t="shared" si="72"/>
        <v>12.99999999999997</v>
      </c>
      <c r="R184" s="54">
        <f t="shared" si="73"/>
        <v>22.756097560975682</v>
      </c>
      <c r="S184" s="54">
        <f t="shared" si="74"/>
        <v>12.99999999999997</v>
      </c>
      <c r="T184" s="54">
        <f t="shared" si="75"/>
        <v>12.99999999999997</v>
      </c>
      <c r="U184" s="54">
        <f t="shared" si="76"/>
        <v>12.99999999999997</v>
      </c>
      <c r="V184" s="54">
        <f t="shared" si="77"/>
        <v>12.99999999999997</v>
      </c>
      <c r="W184" s="54">
        <f t="shared" si="78"/>
        <v>12.99999999999997</v>
      </c>
      <c r="X184" s="54">
        <f t="shared" si="79"/>
        <v>12.99999999999997</v>
      </c>
      <c r="Y184" s="54">
        <f t="shared" si="80"/>
        <v>24.246943765281301</v>
      </c>
      <c r="Z184" s="54">
        <f t="shared" si="81"/>
        <v>12.99999999999997</v>
      </c>
      <c r="AA184" s="54">
        <f t="shared" si="82"/>
        <v>25.745098039215826</v>
      </c>
      <c r="AB184" s="54">
        <f t="shared" si="83"/>
        <v>22.756097560975682</v>
      </c>
      <c r="AC184" s="54">
        <f t="shared" si="84"/>
        <v>12.99999999999997</v>
      </c>
      <c r="AD184" s="54">
        <f t="shared" si="85"/>
        <v>24.790878754171409</v>
      </c>
      <c r="AE184" s="49"/>
      <c r="AF184" s="54"/>
      <c r="AG184" s="54"/>
      <c r="AI184" s="54">
        <f t="shared" si="86"/>
        <v>12.99999999999997</v>
      </c>
      <c r="AJ184" s="54">
        <f t="shared" si="87"/>
        <v>180</v>
      </c>
    </row>
    <row r="185" spans="2:36" hidden="1" x14ac:dyDescent="0.25">
      <c r="B185" s="51"/>
      <c r="C185" s="51"/>
      <c r="D185" s="51"/>
      <c r="E185" s="54">
        <v>181</v>
      </c>
      <c r="F185" s="54">
        <f t="shared" si="61"/>
        <v>21.159701492537355</v>
      </c>
      <c r="G185" s="54">
        <f t="shared" si="62"/>
        <v>38.775675675675885</v>
      </c>
      <c r="H185" s="54">
        <f t="shared" si="63"/>
        <v>13.099999999999969</v>
      </c>
      <c r="I185" s="54">
        <f t="shared" si="64"/>
        <v>13.099999999999969</v>
      </c>
      <c r="J185" s="54">
        <f t="shared" si="65"/>
        <v>13.099999999999969</v>
      </c>
      <c r="K185" s="54">
        <f t="shared" si="66"/>
        <v>13.099999999999969</v>
      </c>
      <c r="L185" s="54">
        <f t="shared" si="67"/>
        <v>13.099999999999969</v>
      </c>
      <c r="M185" s="54">
        <f t="shared" si="68"/>
        <v>25.82084805653723</v>
      </c>
      <c r="N185" s="54">
        <f t="shared" si="69"/>
        <v>13.099999999999969</v>
      </c>
      <c r="O185" s="54">
        <f t="shared" si="70"/>
        <v>13.099999999999969</v>
      </c>
      <c r="P185" s="54">
        <f t="shared" si="71"/>
        <v>25.90000000000013</v>
      </c>
      <c r="Q185" s="54">
        <f t="shared" si="72"/>
        <v>13.099999999999969</v>
      </c>
      <c r="R185" s="54">
        <f t="shared" si="73"/>
        <v>22.856097560975684</v>
      </c>
      <c r="S185" s="54">
        <f t="shared" si="74"/>
        <v>13.099999999999969</v>
      </c>
      <c r="T185" s="54">
        <f t="shared" si="75"/>
        <v>13.099999999999969</v>
      </c>
      <c r="U185" s="54">
        <f t="shared" si="76"/>
        <v>13.099999999999969</v>
      </c>
      <c r="V185" s="54">
        <f t="shared" si="77"/>
        <v>13.099999999999969</v>
      </c>
      <c r="W185" s="54">
        <f t="shared" si="78"/>
        <v>13.099999999999969</v>
      </c>
      <c r="X185" s="54">
        <f t="shared" si="79"/>
        <v>13.099999999999969</v>
      </c>
      <c r="Y185" s="54">
        <f t="shared" si="80"/>
        <v>24.346943765281303</v>
      </c>
      <c r="Z185" s="54">
        <f t="shared" si="81"/>
        <v>13.099999999999969</v>
      </c>
      <c r="AA185" s="54">
        <f t="shared" si="82"/>
        <v>25.845098039215827</v>
      </c>
      <c r="AB185" s="54">
        <f t="shared" si="83"/>
        <v>22.856097560975684</v>
      </c>
      <c r="AC185" s="54">
        <f t="shared" si="84"/>
        <v>13.099999999999969</v>
      </c>
      <c r="AD185" s="54">
        <f t="shared" si="85"/>
        <v>24.89087875417141</v>
      </c>
      <c r="AE185" s="49"/>
      <c r="AF185" s="54"/>
      <c r="AG185" s="54"/>
      <c r="AI185" s="54">
        <f t="shared" si="86"/>
        <v>13.099999999999969</v>
      </c>
      <c r="AJ185" s="54">
        <f t="shared" si="87"/>
        <v>181</v>
      </c>
    </row>
    <row r="186" spans="2:36" hidden="1" x14ac:dyDescent="0.25">
      <c r="B186" s="51"/>
      <c r="C186" s="51"/>
      <c r="D186" s="51"/>
      <c r="E186" s="54">
        <v>182</v>
      </c>
      <c r="F186" s="54">
        <f t="shared" si="61"/>
        <v>21.259701492537356</v>
      </c>
      <c r="G186" s="54">
        <f t="shared" si="62"/>
        <v>38.875675675675886</v>
      </c>
      <c r="H186" s="54">
        <f t="shared" si="63"/>
        <v>13.199999999999969</v>
      </c>
      <c r="I186" s="54">
        <f t="shared" si="64"/>
        <v>13.199999999999969</v>
      </c>
      <c r="J186" s="54">
        <f t="shared" si="65"/>
        <v>13.199999999999969</v>
      </c>
      <c r="K186" s="54">
        <f t="shared" si="66"/>
        <v>13.199999999999969</v>
      </c>
      <c r="L186" s="54">
        <f t="shared" si="67"/>
        <v>13.199999999999969</v>
      </c>
      <c r="M186" s="54">
        <f t="shared" si="68"/>
        <v>25.920848056537231</v>
      </c>
      <c r="N186" s="54">
        <f t="shared" si="69"/>
        <v>13.199999999999969</v>
      </c>
      <c r="O186" s="54">
        <f t="shared" si="70"/>
        <v>13.199999999999969</v>
      </c>
      <c r="P186" s="54">
        <f t="shared" si="71"/>
        <v>26.000000000000131</v>
      </c>
      <c r="Q186" s="54">
        <f t="shared" si="72"/>
        <v>13.199999999999969</v>
      </c>
      <c r="R186" s="54">
        <f t="shared" si="73"/>
        <v>22.956097560975685</v>
      </c>
      <c r="S186" s="54">
        <f t="shared" si="74"/>
        <v>13.199999999999969</v>
      </c>
      <c r="T186" s="54">
        <f t="shared" si="75"/>
        <v>13.199999999999969</v>
      </c>
      <c r="U186" s="54">
        <f t="shared" si="76"/>
        <v>13.199999999999969</v>
      </c>
      <c r="V186" s="54">
        <f t="shared" si="77"/>
        <v>13.199999999999969</v>
      </c>
      <c r="W186" s="54">
        <f t="shared" si="78"/>
        <v>13.199999999999969</v>
      </c>
      <c r="X186" s="54">
        <f t="shared" si="79"/>
        <v>13.199999999999969</v>
      </c>
      <c r="Y186" s="54">
        <f t="shared" si="80"/>
        <v>24.446943765281304</v>
      </c>
      <c r="Z186" s="54">
        <f t="shared" si="81"/>
        <v>13.199999999999969</v>
      </c>
      <c r="AA186" s="54">
        <f t="shared" si="82"/>
        <v>25.945098039215829</v>
      </c>
      <c r="AB186" s="54">
        <f t="shared" si="83"/>
        <v>22.956097560975685</v>
      </c>
      <c r="AC186" s="54">
        <f t="shared" si="84"/>
        <v>13.199999999999969</v>
      </c>
      <c r="AD186" s="54">
        <f t="shared" si="85"/>
        <v>24.990878754171412</v>
      </c>
      <c r="AE186" s="49"/>
      <c r="AF186" s="54"/>
      <c r="AG186" s="54"/>
      <c r="AI186" s="54">
        <f t="shared" si="86"/>
        <v>13.199999999999969</v>
      </c>
      <c r="AJ186" s="54">
        <f t="shared" si="87"/>
        <v>182</v>
      </c>
    </row>
    <row r="187" spans="2:36" hidden="1" x14ac:dyDescent="0.25">
      <c r="B187" s="51"/>
      <c r="C187" s="51"/>
      <c r="D187" s="51"/>
      <c r="E187" s="54">
        <v>183</v>
      </c>
      <c r="F187" s="54">
        <f t="shared" si="61"/>
        <v>21.359701492537358</v>
      </c>
      <c r="G187" s="54">
        <f t="shared" si="62"/>
        <v>38.975675675675888</v>
      </c>
      <c r="H187" s="54">
        <f t="shared" si="63"/>
        <v>13.299999999999969</v>
      </c>
      <c r="I187" s="54">
        <f t="shared" si="64"/>
        <v>13.299999999999969</v>
      </c>
      <c r="J187" s="54">
        <f t="shared" si="65"/>
        <v>13.299999999999969</v>
      </c>
      <c r="K187" s="54">
        <f t="shared" si="66"/>
        <v>13.299999999999969</v>
      </c>
      <c r="L187" s="54">
        <f t="shared" si="67"/>
        <v>13.299999999999969</v>
      </c>
      <c r="M187" s="54">
        <f t="shared" si="68"/>
        <v>26.020848056537233</v>
      </c>
      <c r="N187" s="54">
        <f t="shared" si="69"/>
        <v>13.299999999999969</v>
      </c>
      <c r="O187" s="54">
        <f t="shared" si="70"/>
        <v>13.299999999999969</v>
      </c>
      <c r="P187" s="54">
        <f t="shared" si="71"/>
        <v>26.100000000000133</v>
      </c>
      <c r="Q187" s="54">
        <f t="shared" si="72"/>
        <v>13.299999999999969</v>
      </c>
      <c r="R187" s="54">
        <f t="shared" si="73"/>
        <v>23.056097560975687</v>
      </c>
      <c r="S187" s="54">
        <f t="shared" si="74"/>
        <v>13.299999999999969</v>
      </c>
      <c r="T187" s="54">
        <f t="shared" si="75"/>
        <v>13.299999999999969</v>
      </c>
      <c r="U187" s="54">
        <f t="shared" si="76"/>
        <v>13.299999999999969</v>
      </c>
      <c r="V187" s="54">
        <f t="shared" si="77"/>
        <v>13.299999999999969</v>
      </c>
      <c r="W187" s="54">
        <f t="shared" si="78"/>
        <v>13.299999999999969</v>
      </c>
      <c r="X187" s="54">
        <f t="shared" si="79"/>
        <v>13.299999999999969</v>
      </c>
      <c r="Y187" s="54">
        <f t="shared" si="80"/>
        <v>24.546943765281306</v>
      </c>
      <c r="Z187" s="54">
        <f t="shared" si="81"/>
        <v>13.299999999999969</v>
      </c>
      <c r="AA187" s="54">
        <f t="shared" si="82"/>
        <v>26.04509803921583</v>
      </c>
      <c r="AB187" s="54">
        <f t="shared" si="83"/>
        <v>23.056097560975687</v>
      </c>
      <c r="AC187" s="54">
        <f t="shared" si="84"/>
        <v>13.299999999999969</v>
      </c>
      <c r="AD187" s="54">
        <f t="shared" si="85"/>
        <v>25.090878754171413</v>
      </c>
      <c r="AE187" s="49"/>
      <c r="AF187" s="54"/>
      <c r="AG187" s="54"/>
      <c r="AI187" s="54">
        <f t="shared" si="86"/>
        <v>13.299999999999969</v>
      </c>
      <c r="AJ187" s="54">
        <f t="shared" si="87"/>
        <v>183</v>
      </c>
    </row>
    <row r="188" spans="2:36" hidden="1" x14ac:dyDescent="0.25">
      <c r="B188" s="51"/>
      <c r="C188" s="51"/>
      <c r="D188" s="51"/>
      <c r="E188" s="54">
        <v>184</v>
      </c>
      <c r="F188" s="54">
        <f t="shared" si="61"/>
        <v>21.459701492537359</v>
      </c>
      <c r="G188" s="54">
        <f t="shared" si="62"/>
        <v>39.075675675675889</v>
      </c>
      <c r="H188" s="54">
        <f t="shared" si="63"/>
        <v>13.399999999999968</v>
      </c>
      <c r="I188" s="54">
        <f t="shared" si="64"/>
        <v>13.399999999999968</v>
      </c>
      <c r="J188" s="54">
        <f t="shared" si="65"/>
        <v>13.399999999999968</v>
      </c>
      <c r="K188" s="54">
        <f t="shared" si="66"/>
        <v>13.399999999999968</v>
      </c>
      <c r="L188" s="54">
        <f t="shared" si="67"/>
        <v>13.399999999999968</v>
      </c>
      <c r="M188" s="54">
        <f t="shared" si="68"/>
        <v>26.120848056537234</v>
      </c>
      <c r="N188" s="54">
        <f t="shared" si="69"/>
        <v>13.399999999999968</v>
      </c>
      <c r="O188" s="54">
        <f t="shared" si="70"/>
        <v>13.399999999999968</v>
      </c>
      <c r="P188" s="54">
        <f t="shared" si="71"/>
        <v>26.200000000000134</v>
      </c>
      <c r="Q188" s="54">
        <f t="shared" si="72"/>
        <v>13.399999999999968</v>
      </c>
      <c r="R188" s="54">
        <f t="shared" si="73"/>
        <v>23.156097560975688</v>
      </c>
      <c r="S188" s="54">
        <f t="shared" si="74"/>
        <v>13.399999999999968</v>
      </c>
      <c r="T188" s="54">
        <f t="shared" si="75"/>
        <v>13.399999999999968</v>
      </c>
      <c r="U188" s="54">
        <f t="shared" si="76"/>
        <v>13.399999999999968</v>
      </c>
      <c r="V188" s="54">
        <f t="shared" si="77"/>
        <v>13.399999999999968</v>
      </c>
      <c r="W188" s="54">
        <f t="shared" si="78"/>
        <v>13.399999999999968</v>
      </c>
      <c r="X188" s="54">
        <f t="shared" si="79"/>
        <v>13.399999999999968</v>
      </c>
      <c r="Y188" s="54">
        <f t="shared" si="80"/>
        <v>24.646943765281307</v>
      </c>
      <c r="Z188" s="54">
        <f t="shared" si="81"/>
        <v>13.399999999999968</v>
      </c>
      <c r="AA188" s="54">
        <f t="shared" si="82"/>
        <v>26.145098039215831</v>
      </c>
      <c r="AB188" s="54">
        <f t="shared" si="83"/>
        <v>23.156097560975688</v>
      </c>
      <c r="AC188" s="54">
        <f t="shared" si="84"/>
        <v>13.399999999999968</v>
      </c>
      <c r="AD188" s="54">
        <f t="shared" si="85"/>
        <v>25.190878754171415</v>
      </c>
      <c r="AE188" s="49"/>
      <c r="AF188" s="54"/>
      <c r="AG188" s="54"/>
      <c r="AI188" s="54">
        <f t="shared" si="86"/>
        <v>13.399999999999968</v>
      </c>
      <c r="AJ188" s="54">
        <f t="shared" si="87"/>
        <v>184</v>
      </c>
    </row>
    <row r="189" spans="2:36" hidden="1" x14ac:dyDescent="0.25">
      <c r="B189" s="51"/>
      <c r="C189" s="51"/>
      <c r="D189" s="51"/>
      <c r="E189" s="54">
        <v>185</v>
      </c>
      <c r="F189" s="54">
        <f t="shared" si="61"/>
        <v>21.559701492537361</v>
      </c>
      <c r="G189" s="54">
        <f t="shared" si="62"/>
        <v>39.17567567567589</v>
      </c>
      <c r="H189" s="54">
        <f t="shared" si="63"/>
        <v>13.499999999999968</v>
      </c>
      <c r="I189" s="54">
        <f t="shared" si="64"/>
        <v>13.499999999999968</v>
      </c>
      <c r="J189" s="54">
        <f t="shared" si="65"/>
        <v>13.499999999999968</v>
      </c>
      <c r="K189" s="54">
        <f t="shared" si="66"/>
        <v>13.499999999999968</v>
      </c>
      <c r="L189" s="54">
        <f t="shared" si="67"/>
        <v>13.499999999999968</v>
      </c>
      <c r="M189" s="54">
        <f t="shared" si="68"/>
        <v>26.220848056537235</v>
      </c>
      <c r="N189" s="54">
        <f t="shared" si="69"/>
        <v>13.499999999999968</v>
      </c>
      <c r="O189" s="54">
        <f t="shared" si="70"/>
        <v>13.499999999999968</v>
      </c>
      <c r="P189" s="54">
        <f t="shared" si="71"/>
        <v>26.300000000000136</v>
      </c>
      <c r="Q189" s="54">
        <f t="shared" si="72"/>
        <v>13.499999999999968</v>
      </c>
      <c r="R189" s="54">
        <f t="shared" si="73"/>
        <v>23.256097560975689</v>
      </c>
      <c r="S189" s="54">
        <f t="shared" si="74"/>
        <v>13.499999999999968</v>
      </c>
      <c r="T189" s="54">
        <f t="shared" si="75"/>
        <v>13.499999999999968</v>
      </c>
      <c r="U189" s="54">
        <f t="shared" si="76"/>
        <v>13.499999999999968</v>
      </c>
      <c r="V189" s="54">
        <f t="shared" si="77"/>
        <v>13.499999999999968</v>
      </c>
      <c r="W189" s="54">
        <f t="shared" si="78"/>
        <v>13.499999999999968</v>
      </c>
      <c r="X189" s="54">
        <f t="shared" si="79"/>
        <v>13.499999999999968</v>
      </c>
      <c r="Y189" s="54">
        <f t="shared" si="80"/>
        <v>24.746943765281308</v>
      </c>
      <c r="Z189" s="54">
        <f t="shared" si="81"/>
        <v>13.499999999999968</v>
      </c>
      <c r="AA189" s="54">
        <f t="shared" si="82"/>
        <v>26.245098039215833</v>
      </c>
      <c r="AB189" s="54">
        <f t="shared" si="83"/>
        <v>23.256097560975689</v>
      </c>
      <c r="AC189" s="54">
        <f t="shared" si="84"/>
        <v>13.499999999999968</v>
      </c>
      <c r="AD189" s="54">
        <f t="shared" si="85"/>
        <v>25.290878754171416</v>
      </c>
      <c r="AE189" s="49"/>
      <c r="AF189" s="54"/>
      <c r="AG189" s="54"/>
      <c r="AI189" s="54">
        <f t="shared" si="86"/>
        <v>13.499999999999968</v>
      </c>
      <c r="AJ189" s="54">
        <f t="shared" si="87"/>
        <v>185</v>
      </c>
    </row>
    <row r="190" spans="2:36" hidden="1" x14ac:dyDescent="0.25">
      <c r="B190" s="51"/>
      <c r="C190" s="51"/>
      <c r="D190" s="51"/>
      <c r="E190" s="54">
        <v>186</v>
      </c>
      <c r="F190" s="54">
        <f t="shared" si="61"/>
        <v>21.659701492537362</v>
      </c>
      <c r="G190" s="54">
        <f t="shared" si="62"/>
        <v>39.275675675675892</v>
      </c>
      <c r="H190" s="54">
        <f t="shared" si="63"/>
        <v>13.599999999999968</v>
      </c>
      <c r="I190" s="54">
        <f t="shared" si="64"/>
        <v>13.599999999999968</v>
      </c>
      <c r="J190" s="54">
        <f t="shared" si="65"/>
        <v>13.599999999999968</v>
      </c>
      <c r="K190" s="54">
        <f t="shared" si="66"/>
        <v>13.599999999999968</v>
      </c>
      <c r="L190" s="54">
        <f t="shared" si="67"/>
        <v>13.599999999999968</v>
      </c>
      <c r="M190" s="54">
        <f t="shared" si="68"/>
        <v>26.320848056537237</v>
      </c>
      <c r="N190" s="54">
        <f t="shared" si="69"/>
        <v>13.599999999999968</v>
      </c>
      <c r="O190" s="54">
        <f t="shared" si="70"/>
        <v>13.599999999999968</v>
      </c>
      <c r="P190" s="54">
        <f t="shared" si="71"/>
        <v>26.400000000000137</v>
      </c>
      <c r="Q190" s="54">
        <f t="shared" si="72"/>
        <v>13.599999999999968</v>
      </c>
      <c r="R190" s="54">
        <f t="shared" si="73"/>
        <v>23.356097560975691</v>
      </c>
      <c r="S190" s="54">
        <f t="shared" si="74"/>
        <v>13.599999999999968</v>
      </c>
      <c r="T190" s="54">
        <f t="shared" si="75"/>
        <v>13.599999999999968</v>
      </c>
      <c r="U190" s="54">
        <f t="shared" si="76"/>
        <v>13.599999999999968</v>
      </c>
      <c r="V190" s="54">
        <f t="shared" si="77"/>
        <v>13.599999999999968</v>
      </c>
      <c r="W190" s="54">
        <f t="shared" si="78"/>
        <v>13.599999999999968</v>
      </c>
      <c r="X190" s="54">
        <f t="shared" si="79"/>
        <v>13.599999999999968</v>
      </c>
      <c r="Y190" s="54">
        <f t="shared" si="80"/>
        <v>24.84694376528131</v>
      </c>
      <c r="Z190" s="54">
        <f t="shared" si="81"/>
        <v>13.599999999999968</v>
      </c>
      <c r="AA190" s="54">
        <f t="shared" si="82"/>
        <v>26.345098039215834</v>
      </c>
      <c r="AB190" s="54">
        <f t="shared" si="83"/>
        <v>23.356097560975691</v>
      </c>
      <c r="AC190" s="54">
        <f t="shared" si="84"/>
        <v>13.599999999999968</v>
      </c>
      <c r="AD190" s="54">
        <f t="shared" si="85"/>
        <v>25.390878754171418</v>
      </c>
      <c r="AE190" s="49"/>
      <c r="AF190" s="54"/>
      <c r="AG190" s="54"/>
      <c r="AI190" s="54">
        <f t="shared" si="86"/>
        <v>13.599999999999968</v>
      </c>
      <c r="AJ190" s="54">
        <f t="shared" si="87"/>
        <v>186</v>
      </c>
    </row>
    <row r="191" spans="2:36" hidden="1" x14ac:dyDescent="0.25">
      <c r="B191" s="51"/>
      <c r="C191" s="51"/>
      <c r="D191" s="51"/>
      <c r="E191" s="54">
        <v>187</v>
      </c>
      <c r="F191" s="54">
        <f t="shared" si="61"/>
        <v>21.759701492537364</v>
      </c>
      <c r="G191" s="54">
        <f t="shared" si="62"/>
        <v>39.375675675675893</v>
      </c>
      <c r="H191" s="54">
        <f t="shared" si="63"/>
        <v>13.699999999999967</v>
      </c>
      <c r="I191" s="54">
        <f t="shared" si="64"/>
        <v>13.699999999999967</v>
      </c>
      <c r="J191" s="54">
        <f t="shared" si="65"/>
        <v>13.699999999999967</v>
      </c>
      <c r="K191" s="54">
        <f t="shared" si="66"/>
        <v>13.699999999999967</v>
      </c>
      <c r="L191" s="54">
        <f t="shared" si="67"/>
        <v>13.699999999999967</v>
      </c>
      <c r="M191" s="54">
        <f t="shared" si="68"/>
        <v>26.420848056537238</v>
      </c>
      <c r="N191" s="54">
        <f t="shared" si="69"/>
        <v>13.699999999999967</v>
      </c>
      <c r="O191" s="54">
        <f t="shared" si="70"/>
        <v>13.699999999999967</v>
      </c>
      <c r="P191" s="54">
        <f t="shared" si="71"/>
        <v>26.500000000000139</v>
      </c>
      <c r="Q191" s="54">
        <f t="shared" si="72"/>
        <v>13.699999999999967</v>
      </c>
      <c r="R191" s="54">
        <f t="shared" si="73"/>
        <v>23.456097560975692</v>
      </c>
      <c r="S191" s="54">
        <f t="shared" si="74"/>
        <v>13.699999999999967</v>
      </c>
      <c r="T191" s="54">
        <f t="shared" si="75"/>
        <v>13.699999999999967</v>
      </c>
      <c r="U191" s="54">
        <f t="shared" si="76"/>
        <v>13.699999999999967</v>
      </c>
      <c r="V191" s="54">
        <f t="shared" si="77"/>
        <v>13.699999999999967</v>
      </c>
      <c r="W191" s="54">
        <f t="shared" si="78"/>
        <v>13.699999999999967</v>
      </c>
      <c r="X191" s="54">
        <f t="shared" si="79"/>
        <v>13.699999999999967</v>
      </c>
      <c r="Y191" s="54">
        <f t="shared" si="80"/>
        <v>24.946943765281311</v>
      </c>
      <c r="Z191" s="54">
        <f t="shared" si="81"/>
        <v>13.699999999999967</v>
      </c>
      <c r="AA191" s="54">
        <f t="shared" si="82"/>
        <v>26.445098039215836</v>
      </c>
      <c r="AB191" s="54">
        <f t="shared" si="83"/>
        <v>23.456097560975692</v>
      </c>
      <c r="AC191" s="54">
        <f t="shared" si="84"/>
        <v>13.699999999999967</v>
      </c>
      <c r="AD191" s="54">
        <f t="shared" si="85"/>
        <v>25.490878754171419</v>
      </c>
      <c r="AE191" s="49"/>
      <c r="AF191" s="54"/>
      <c r="AG191" s="54"/>
      <c r="AI191" s="54">
        <f t="shared" si="86"/>
        <v>13.699999999999967</v>
      </c>
      <c r="AJ191" s="54">
        <f t="shared" si="87"/>
        <v>187</v>
      </c>
    </row>
    <row r="192" spans="2:36" hidden="1" x14ac:dyDescent="0.25">
      <c r="B192" s="51"/>
      <c r="C192" s="51"/>
      <c r="D192" s="51"/>
      <c r="E192" s="54">
        <v>188</v>
      </c>
      <c r="F192" s="54">
        <f t="shared" si="61"/>
        <v>21.859701492537365</v>
      </c>
      <c r="G192" s="54">
        <f t="shared" si="62"/>
        <v>39.475675675675895</v>
      </c>
      <c r="H192" s="54">
        <f t="shared" si="63"/>
        <v>13.799999999999967</v>
      </c>
      <c r="I192" s="54">
        <f t="shared" si="64"/>
        <v>13.799999999999967</v>
      </c>
      <c r="J192" s="54">
        <f t="shared" si="65"/>
        <v>13.799999999999967</v>
      </c>
      <c r="K192" s="54">
        <f t="shared" si="66"/>
        <v>13.799999999999967</v>
      </c>
      <c r="L192" s="54">
        <f t="shared" si="67"/>
        <v>13.799999999999967</v>
      </c>
      <c r="M192" s="54">
        <f t="shared" si="68"/>
        <v>26.52084805653724</v>
      </c>
      <c r="N192" s="54">
        <f t="shared" si="69"/>
        <v>13.799999999999967</v>
      </c>
      <c r="O192" s="54">
        <f t="shared" si="70"/>
        <v>13.799999999999967</v>
      </c>
      <c r="P192" s="54">
        <f t="shared" si="71"/>
        <v>26.60000000000014</v>
      </c>
      <c r="Q192" s="54">
        <f t="shared" si="72"/>
        <v>13.799999999999967</v>
      </c>
      <c r="R192" s="54">
        <f t="shared" si="73"/>
        <v>23.556097560975694</v>
      </c>
      <c r="S192" s="54">
        <f t="shared" si="74"/>
        <v>13.799999999999967</v>
      </c>
      <c r="T192" s="54">
        <f t="shared" si="75"/>
        <v>13.799999999999967</v>
      </c>
      <c r="U192" s="54">
        <f t="shared" si="76"/>
        <v>13.799999999999967</v>
      </c>
      <c r="V192" s="54">
        <f t="shared" si="77"/>
        <v>13.799999999999967</v>
      </c>
      <c r="W192" s="54">
        <f t="shared" si="78"/>
        <v>13.799999999999967</v>
      </c>
      <c r="X192" s="54">
        <f t="shared" si="79"/>
        <v>13.799999999999967</v>
      </c>
      <c r="Y192" s="54">
        <f t="shared" si="80"/>
        <v>25.046943765281313</v>
      </c>
      <c r="Z192" s="54">
        <f t="shared" si="81"/>
        <v>13.799999999999967</v>
      </c>
      <c r="AA192" s="54">
        <f t="shared" si="82"/>
        <v>26.545098039215837</v>
      </c>
      <c r="AB192" s="54">
        <f t="shared" si="83"/>
        <v>23.556097560975694</v>
      </c>
      <c r="AC192" s="54">
        <f t="shared" si="84"/>
        <v>13.799999999999967</v>
      </c>
      <c r="AD192" s="54">
        <f t="shared" si="85"/>
        <v>25.59087875417142</v>
      </c>
      <c r="AE192" s="49"/>
      <c r="AF192" s="54"/>
      <c r="AG192" s="54"/>
      <c r="AI192" s="54">
        <f t="shared" si="86"/>
        <v>13.799999999999967</v>
      </c>
      <c r="AJ192" s="54">
        <f t="shared" si="87"/>
        <v>188</v>
      </c>
    </row>
    <row r="193" spans="2:36" hidden="1" x14ac:dyDescent="0.25">
      <c r="B193" s="51"/>
      <c r="C193" s="51"/>
      <c r="D193" s="51"/>
      <c r="E193" s="54">
        <v>189</v>
      </c>
      <c r="F193" s="54">
        <f t="shared" si="61"/>
        <v>21.959701492537366</v>
      </c>
      <c r="G193" s="54">
        <f t="shared" si="62"/>
        <v>39.575675675675896</v>
      </c>
      <c r="H193" s="54">
        <f t="shared" si="63"/>
        <v>13.899999999999967</v>
      </c>
      <c r="I193" s="54">
        <f t="shared" si="64"/>
        <v>13.899999999999967</v>
      </c>
      <c r="J193" s="54">
        <f t="shared" si="65"/>
        <v>13.899999999999967</v>
      </c>
      <c r="K193" s="54">
        <f t="shared" si="66"/>
        <v>13.899999999999967</v>
      </c>
      <c r="L193" s="54">
        <f t="shared" si="67"/>
        <v>13.899999999999967</v>
      </c>
      <c r="M193" s="54">
        <f t="shared" si="68"/>
        <v>26.620848056537241</v>
      </c>
      <c r="N193" s="54">
        <f t="shared" si="69"/>
        <v>13.899999999999967</v>
      </c>
      <c r="O193" s="54">
        <f t="shared" si="70"/>
        <v>13.899999999999967</v>
      </c>
      <c r="P193" s="54">
        <f t="shared" si="71"/>
        <v>26.700000000000141</v>
      </c>
      <c r="Q193" s="54">
        <f t="shared" si="72"/>
        <v>13.899999999999967</v>
      </c>
      <c r="R193" s="54">
        <f t="shared" si="73"/>
        <v>23.656097560975695</v>
      </c>
      <c r="S193" s="54">
        <f t="shared" si="74"/>
        <v>13.899999999999967</v>
      </c>
      <c r="T193" s="54">
        <f t="shared" si="75"/>
        <v>13.899999999999967</v>
      </c>
      <c r="U193" s="54">
        <f t="shared" si="76"/>
        <v>13.899999999999967</v>
      </c>
      <c r="V193" s="54">
        <f t="shared" si="77"/>
        <v>13.899999999999967</v>
      </c>
      <c r="W193" s="54">
        <f t="shared" si="78"/>
        <v>13.899999999999967</v>
      </c>
      <c r="X193" s="54">
        <f t="shared" si="79"/>
        <v>13.899999999999967</v>
      </c>
      <c r="Y193" s="54">
        <f t="shared" si="80"/>
        <v>25.146943765281314</v>
      </c>
      <c r="Z193" s="54">
        <f t="shared" si="81"/>
        <v>13.899999999999967</v>
      </c>
      <c r="AA193" s="54">
        <f t="shared" si="82"/>
        <v>26.645098039215839</v>
      </c>
      <c r="AB193" s="54">
        <f t="shared" si="83"/>
        <v>23.656097560975695</v>
      </c>
      <c r="AC193" s="54">
        <f t="shared" si="84"/>
        <v>13.899999999999967</v>
      </c>
      <c r="AD193" s="54">
        <f t="shared" si="85"/>
        <v>25.690878754171422</v>
      </c>
      <c r="AE193" s="49"/>
      <c r="AF193" s="54"/>
      <c r="AG193" s="54"/>
      <c r="AI193" s="54">
        <f t="shared" si="86"/>
        <v>13.899999999999967</v>
      </c>
      <c r="AJ193" s="54">
        <f t="shared" si="87"/>
        <v>189</v>
      </c>
    </row>
    <row r="194" spans="2:36" hidden="1" x14ac:dyDescent="0.25">
      <c r="B194" s="51"/>
      <c r="C194" s="51"/>
      <c r="D194" s="51"/>
      <c r="E194" s="54">
        <v>190</v>
      </c>
      <c r="F194" s="54">
        <f t="shared" si="61"/>
        <v>22.059701492537368</v>
      </c>
      <c r="G194" s="54">
        <f t="shared" si="62"/>
        <v>39.675675675675897</v>
      </c>
      <c r="H194" s="54">
        <f t="shared" si="63"/>
        <v>13.999999999999966</v>
      </c>
      <c r="I194" s="54">
        <f t="shared" si="64"/>
        <v>13.999999999999966</v>
      </c>
      <c r="J194" s="54">
        <f t="shared" si="65"/>
        <v>13.999999999999966</v>
      </c>
      <c r="K194" s="54">
        <f t="shared" si="66"/>
        <v>13.999999999999966</v>
      </c>
      <c r="L194" s="54">
        <f t="shared" si="67"/>
        <v>13.999999999999966</v>
      </c>
      <c r="M194" s="54">
        <f t="shared" si="68"/>
        <v>26.720848056537243</v>
      </c>
      <c r="N194" s="54">
        <f t="shared" si="69"/>
        <v>13.999999999999966</v>
      </c>
      <c r="O194" s="54">
        <f t="shared" si="70"/>
        <v>13.999999999999966</v>
      </c>
      <c r="P194" s="54">
        <f t="shared" si="71"/>
        <v>26.800000000000143</v>
      </c>
      <c r="Q194" s="54">
        <f t="shared" si="72"/>
        <v>13.999999999999966</v>
      </c>
      <c r="R194" s="54">
        <f t="shared" si="73"/>
        <v>23.756097560975697</v>
      </c>
      <c r="S194" s="54">
        <f t="shared" si="74"/>
        <v>13.999999999999966</v>
      </c>
      <c r="T194" s="54">
        <f t="shared" si="75"/>
        <v>13.999999999999966</v>
      </c>
      <c r="U194" s="54">
        <f t="shared" si="76"/>
        <v>13.999999999999966</v>
      </c>
      <c r="V194" s="54">
        <f t="shared" si="77"/>
        <v>13.999999999999966</v>
      </c>
      <c r="W194" s="54">
        <f t="shared" si="78"/>
        <v>13.999999999999966</v>
      </c>
      <c r="X194" s="54">
        <f t="shared" si="79"/>
        <v>13.999999999999966</v>
      </c>
      <c r="Y194" s="54">
        <f t="shared" si="80"/>
        <v>25.246943765281316</v>
      </c>
      <c r="Z194" s="54">
        <f t="shared" si="81"/>
        <v>13.999999999999966</v>
      </c>
      <c r="AA194" s="54">
        <f t="shared" si="82"/>
        <v>26.74509803921584</v>
      </c>
      <c r="AB194" s="54">
        <f t="shared" si="83"/>
        <v>23.756097560975697</v>
      </c>
      <c r="AC194" s="54">
        <f t="shared" si="84"/>
        <v>13.999999999999966</v>
      </c>
      <c r="AD194" s="54">
        <f t="shared" si="85"/>
        <v>25.790878754171423</v>
      </c>
      <c r="AE194" s="49"/>
      <c r="AF194" s="54"/>
      <c r="AG194" s="54"/>
      <c r="AI194" s="54">
        <f t="shared" si="86"/>
        <v>13.999999999999966</v>
      </c>
      <c r="AJ194" s="54">
        <f t="shared" si="87"/>
        <v>190</v>
      </c>
    </row>
    <row r="195" spans="2:36" hidden="1" x14ac:dyDescent="0.25">
      <c r="B195" s="51"/>
      <c r="C195" s="51"/>
      <c r="D195" s="51"/>
      <c r="E195" s="54">
        <v>191</v>
      </c>
      <c r="F195" s="54">
        <f t="shared" si="61"/>
        <v>22.159701492537369</v>
      </c>
      <c r="G195" s="54">
        <f t="shared" si="62"/>
        <v>39.775675675675899</v>
      </c>
      <c r="H195" s="54">
        <f t="shared" si="63"/>
        <v>14.099999999999966</v>
      </c>
      <c r="I195" s="54">
        <f t="shared" si="64"/>
        <v>14.099999999999966</v>
      </c>
      <c r="J195" s="54">
        <f t="shared" si="65"/>
        <v>14.099999999999966</v>
      </c>
      <c r="K195" s="54">
        <f t="shared" si="66"/>
        <v>14.099999999999966</v>
      </c>
      <c r="L195" s="54">
        <f t="shared" si="67"/>
        <v>14.099999999999966</v>
      </c>
      <c r="M195" s="54">
        <f t="shared" si="68"/>
        <v>26.820848056537244</v>
      </c>
      <c r="N195" s="54">
        <f t="shared" si="69"/>
        <v>14.099999999999966</v>
      </c>
      <c r="O195" s="54">
        <f t="shared" si="70"/>
        <v>14.099999999999966</v>
      </c>
      <c r="P195" s="54">
        <f t="shared" si="71"/>
        <v>26.900000000000144</v>
      </c>
      <c r="Q195" s="54">
        <f t="shared" si="72"/>
        <v>14.099999999999966</v>
      </c>
      <c r="R195" s="54">
        <f t="shared" si="73"/>
        <v>23.856097560975698</v>
      </c>
      <c r="S195" s="54">
        <f t="shared" si="74"/>
        <v>14.099999999999966</v>
      </c>
      <c r="T195" s="54">
        <f t="shared" si="75"/>
        <v>14.099999999999966</v>
      </c>
      <c r="U195" s="54">
        <f t="shared" si="76"/>
        <v>14.099999999999966</v>
      </c>
      <c r="V195" s="54">
        <f t="shared" si="77"/>
        <v>14.099999999999966</v>
      </c>
      <c r="W195" s="54">
        <f t="shared" si="78"/>
        <v>14.099999999999966</v>
      </c>
      <c r="X195" s="54">
        <f t="shared" si="79"/>
        <v>14.099999999999966</v>
      </c>
      <c r="Y195" s="54">
        <f t="shared" si="80"/>
        <v>25.346943765281317</v>
      </c>
      <c r="Z195" s="54">
        <f t="shared" si="81"/>
        <v>14.099999999999966</v>
      </c>
      <c r="AA195" s="54">
        <f t="shared" si="82"/>
        <v>26.845098039215841</v>
      </c>
      <c r="AB195" s="54">
        <f t="shared" si="83"/>
        <v>23.856097560975698</v>
      </c>
      <c r="AC195" s="54">
        <f t="shared" si="84"/>
        <v>14.099999999999966</v>
      </c>
      <c r="AD195" s="54">
        <f t="shared" si="85"/>
        <v>25.890878754171425</v>
      </c>
      <c r="AE195" s="49"/>
      <c r="AF195" s="54"/>
      <c r="AG195" s="54"/>
      <c r="AI195" s="54">
        <f t="shared" si="86"/>
        <v>14.099999999999966</v>
      </c>
      <c r="AJ195" s="54">
        <f t="shared" si="87"/>
        <v>191</v>
      </c>
    </row>
    <row r="196" spans="2:36" hidden="1" x14ac:dyDescent="0.25">
      <c r="B196" s="51"/>
      <c r="C196" s="51"/>
      <c r="D196" s="51"/>
      <c r="E196" s="54">
        <v>192</v>
      </c>
      <c r="F196" s="54">
        <f t="shared" si="61"/>
        <v>22.259701492537371</v>
      </c>
      <c r="G196" s="54">
        <f t="shared" si="62"/>
        <v>39.8756756756759</v>
      </c>
      <c r="H196" s="54">
        <f t="shared" si="63"/>
        <v>14.199999999999966</v>
      </c>
      <c r="I196" s="54">
        <f t="shared" si="64"/>
        <v>14.199999999999966</v>
      </c>
      <c r="J196" s="54">
        <f t="shared" si="65"/>
        <v>14.199999999999966</v>
      </c>
      <c r="K196" s="54">
        <f t="shared" si="66"/>
        <v>14.199999999999966</v>
      </c>
      <c r="L196" s="54">
        <f t="shared" si="67"/>
        <v>14.199999999999966</v>
      </c>
      <c r="M196" s="54">
        <f t="shared" si="68"/>
        <v>26.920848056537245</v>
      </c>
      <c r="N196" s="54">
        <f t="shared" si="69"/>
        <v>14.199999999999966</v>
      </c>
      <c r="O196" s="54">
        <f t="shared" si="70"/>
        <v>14.199999999999966</v>
      </c>
      <c r="P196" s="54">
        <f t="shared" si="71"/>
        <v>27.000000000000146</v>
      </c>
      <c r="Q196" s="54">
        <f t="shared" si="72"/>
        <v>14.199999999999966</v>
      </c>
      <c r="R196" s="54">
        <f t="shared" si="73"/>
        <v>23.956097560975699</v>
      </c>
      <c r="S196" s="54">
        <f t="shared" si="74"/>
        <v>14.199999999999966</v>
      </c>
      <c r="T196" s="54">
        <f t="shared" si="75"/>
        <v>14.199999999999966</v>
      </c>
      <c r="U196" s="54">
        <f t="shared" si="76"/>
        <v>14.199999999999966</v>
      </c>
      <c r="V196" s="54">
        <f t="shared" si="77"/>
        <v>14.199999999999966</v>
      </c>
      <c r="W196" s="54">
        <f t="shared" si="78"/>
        <v>14.199999999999966</v>
      </c>
      <c r="X196" s="54">
        <f t="shared" si="79"/>
        <v>14.199999999999966</v>
      </c>
      <c r="Y196" s="54">
        <f t="shared" si="80"/>
        <v>25.446943765281318</v>
      </c>
      <c r="Z196" s="54">
        <f t="shared" si="81"/>
        <v>14.199999999999966</v>
      </c>
      <c r="AA196" s="54">
        <f t="shared" si="82"/>
        <v>26.945098039215843</v>
      </c>
      <c r="AB196" s="54">
        <f t="shared" si="83"/>
        <v>23.956097560975699</v>
      </c>
      <c r="AC196" s="54">
        <f t="shared" si="84"/>
        <v>14.199999999999966</v>
      </c>
      <c r="AD196" s="54">
        <f t="shared" si="85"/>
        <v>25.990878754171426</v>
      </c>
      <c r="AE196" s="49"/>
      <c r="AF196" s="54"/>
      <c r="AG196" s="54"/>
      <c r="AI196" s="54">
        <f t="shared" si="86"/>
        <v>14.199999999999966</v>
      </c>
      <c r="AJ196" s="54">
        <f t="shared" si="87"/>
        <v>192</v>
      </c>
    </row>
    <row r="197" spans="2:36" hidden="1" x14ac:dyDescent="0.25">
      <c r="B197" s="51"/>
      <c r="C197" s="51"/>
      <c r="D197" s="51"/>
      <c r="E197" s="54">
        <v>193</v>
      </c>
      <c r="F197" s="54">
        <f t="shared" si="61"/>
        <v>22.359701492537372</v>
      </c>
      <c r="G197" s="54">
        <f t="shared" si="62"/>
        <v>39.975675675675902</v>
      </c>
      <c r="H197" s="54">
        <f t="shared" si="63"/>
        <v>14.299999999999965</v>
      </c>
      <c r="I197" s="54">
        <f t="shared" si="64"/>
        <v>14.299999999999965</v>
      </c>
      <c r="J197" s="54">
        <f t="shared" si="65"/>
        <v>14.299999999999965</v>
      </c>
      <c r="K197" s="54">
        <f t="shared" si="66"/>
        <v>14.299999999999965</v>
      </c>
      <c r="L197" s="54">
        <f t="shared" si="67"/>
        <v>14.299999999999965</v>
      </c>
      <c r="M197" s="54">
        <f t="shared" si="68"/>
        <v>27.020848056537247</v>
      </c>
      <c r="N197" s="54">
        <f t="shared" si="69"/>
        <v>14.299999999999965</v>
      </c>
      <c r="O197" s="54">
        <f t="shared" si="70"/>
        <v>14.299999999999965</v>
      </c>
      <c r="P197" s="54">
        <f t="shared" si="71"/>
        <v>27.100000000000147</v>
      </c>
      <c r="Q197" s="54">
        <f t="shared" si="72"/>
        <v>14.299999999999965</v>
      </c>
      <c r="R197" s="54">
        <f t="shared" si="73"/>
        <v>24.056097560975701</v>
      </c>
      <c r="S197" s="54">
        <f t="shared" si="74"/>
        <v>14.299999999999965</v>
      </c>
      <c r="T197" s="54">
        <f t="shared" si="75"/>
        <v>14.299999999999965</v>
      </c>
      <c r="U197" s="54">
        <f t="shared" si="76"/>
        <v>14.299999999999965</v>
      </c>
      <c r="V197" s="54">
        <f t="shared" si="77"/>
        <v>14.299999999999965</v>
      </c>
      <c r="W197" s="54">
        <f t="shared" si="78"/>
        <v>14.299999999999965</v>
      </c>
      <c r="X197" s="54">
        <f t="shared" si="79"/>
        <v>14.299999999999965</v>
      </c>
      <c r="Y197" s="54">
        <f t="shared" si="80"/>
        <v>25.54694376528132</v>
      </c>
      <c r="Z197" s="54">
        <f t="shared" si="81"/>
        <v>14.299999999999965</v>
      </c>
      <c r="AA197" s="54">
        <f t="shared" si="82"/>
        <v>27.045098039215844</v>
      </c>
      <c r="AB197" s="54">
        <f t="shared" si="83"/>
        <v>24.056097560975701</v>
      </c>
      <c r="AC197" s="54">
        <f t="shared" si="84"/>
        <v>14.299999999999965</v>
      </c>
      <c r="AD197" s="54">
        <f t="shared" si="85"/>
        <v>26.090878754171428</v>
      </c>
      <c r="AE197" s="49"/>
      <c r="AF197" s="54"/>
      <c r="AG197" s="54"/>
      <c r="AI197" s="54">
        <f t="shared" si="86"/>
        <v>14.299999999999965</v>
      </c>
      <c r="AJ197" s="54">
        <f t="shared" si="87"/>
        <v>193</v>
      </c>
    </row>
    <row r="198" spans="2:36" hidden="1" x14ac:dyDescent="0.25">
      <c r="B198" s="51"/>
      <c r="C198" s="51"/>
      <c r="D198" s="51"/>
      <c r="E198" s="54">
        <v>194</v>
      </c>
      <c r="F198" s="54">
        <f t="shared" si="61"/>
        <v>22.459701492537373</v>
      </c>
      <c r="G198" s="54">
        <f t="shared" si="62"/>
        <v>40.075675675675903</v>
      </c>
      <c r="H198" s="54">
        <f t="shared" si="63"/>
        <v>14.399999999999965</v>
      </c>
      <c r="I198" s="54">
        <f t="shared" si="64"/>
        <v>14.399999999999965</v>
      </c>
      <c r="J198" s="54">
        <f t="shared" si="65"/>
        <v>14.399999999999965</v>
      </c>
      <c r="K198" s="54">
        <f t="shared" si="66"/>
        <v>14.399999999999965</v>
      </c>
      <c r="L198" s="54">
        <f t="shared" si="67"/>
        <v>14.399999999999965</v>
      </c>
      <c r="M198" s="54">
        <f t="shared" si="68"/>
        <v>27.120848056537248</v>
      </c>
      <c r="N198" s="54">
        <f t="shared" si="69"/>
        <v>14.399999999999965</v>
      </c>
      <c r="O198" s="54">
        <f t="shared" si="70"/>
        <v>14.399999999999965</v>
      </c>
      <c r="P198" s="54">
        <f t="shared" si="71"/>
        <v>27.200000000000149</v>
      </c>
      <c r="Q198" s="54">
        <f t="shared" si="72"/>
        <v>14.399999999999965</v>
      </c>
      <c r="R198" s="54">
        <f t="shared" si="73"/>
        <v>24.156097560975702</v>
      </c>
      <c r="S198" s="54">
        <f t="shared" si="74"/>
        <v>14.399999999999965</v>
      </c>
      <c r="T198" s="54">
        <f t="shared" si="75"/>
        <v>14.399999999999965</v>
      </c>
      <c r="U198" s="54">
        <f t="shared" si="76"/>
        <v>14.399999999999965</v>
      </c>
      <c r="V198" s="54">
        <f t="shared" si="77"/>
        <v>14.399999999999965</v>
      </c>
      <c r="W198" s="54">
        <f t="shared" si="78"/>
        <v>14.399999999999965</v>
      </c>
      <c r="X198" s="54">
        <f t="shared" si="79"/>
        <v>14.399999999999965</v>
      </c>
      <c r="Y198" s="54">
        <f t="shared" si="80"/>
        <v>25.646943765281321</v>
      </c>
      <c r="Z198" s="54">
        <f t="shared" si="81"/>
        <v>14.399999999999965</v>
      </c>
      <c r="AA198" s="54">
        <f t="shared" si="82"/>
        <v>27.145098039215846</v>
      </c>
      <c r="AB198" s="54">
        <f t="shared" si="83"/>
        <v>24.156097560975702</v>
      </c>
      <c r="AC198" s="54">
        <f t="shared" si="84"/>
        <v>14.399999999999965</v>
      </c>
      <c r="AD198" s="54">
        <f t="shared" si="85"/>
        <v>26.190878754171429</v>
      </c>
      <c r="AE198" s="49"/>
      <c r="AF198" s="54"/>
      <c r="AG198" s="54"/>
      <c r="AI198" s="54">
        <f t="shared" si="86"/>
        <v>14.399999999999965</v>
      </c>
      <c r="AJ198" s="54">
        <f t="shared" si="87"/>
        <v>194</v>
      </c>
    </row>
    <row r="199" spans="2:36" hidden="1" x14ac:dyDescent="0.25">
      <c r="B199" s="51"/>
      <c r="C199" s="51"/>
      <c r="D199" s="51"/>
      <c r="E199" s="54">
        <v>195</v>
      </c>
      <c r="F199" s="54">
        <f t="shared" si="61"/>
        <v>22.559701492537375</v>
      </c>
      <c r="G199" s="54">
        <f t="shared" si="62"/>
        <v>40.175675675675905</v>
      </c>
      <c r="H199" s="54">
        <f t="shared" si="63"/>
        <v>14.499999999999964</v>
      </c>
      <c r="I199" s="54">
        <f t="shared" si="64"/>
        <v>14.499999999999964</v>
      </c>
      <c r="J199" s="54">
        <f t="shared" si="65"/>
        <v>14.499999999999964</v>
      </c>
      <c r="K199" s="54">
        <f t="shared" si="66"/>
        <v>14.499999999999964</v>
      </c>
      <c r="L199" s="54">
        <f t="shared" si="67"/>
        <v>14.499999999999964</v>
      </c>
      <c r="M199" s="54">
        <f t="shared" si="68"/>
        <v>27.22084805653725</v>
      </c>
      <c r="N199" s="54">
        <f t="shared" si="69"/>
        <v>14.499999999999964</v>
      </c>
      <c r="O199" s="54">
        <f t="shared" si="70"/>
        <v>14.499999999999964</v>
      </c>
      <c r="P199" s="54">
        <f t="shared" si="71"/>
        <v>27.30000000000015</v>
      </c>
      <c r="Q199" s="54">
        <f t="shared" si="72"/>
        <v>14.499999999999964</v>
      </c>
      <c r="R199" s="54">
        <f t="shared" si="73"/>
        <v>24.256097560975704</v>
      </c>
      <c r="S199" s="54">
        <f t="shared" si="74"/>
        <v>14.499999999999964</v>
      </c>
      <c r="T199" s="54">
        <f t="shared" si="75"/>
        <v>14.499999999999964</v>
      </c>
      <c r="U199" s="54">
        <f t="shared" si="76"/>
        <v>14.499999999999964</v>
      </c>
      <c r="V199" s="54">
        <f t="shared" si="77"/>
        <v>14.499999999999964</v>
      </c>
      <c r="W199" s="54">
        <f t="shared" si="78"/>
        <v>14.499999999999964</v>
      </c>
      <c r="X199" s="54">
        <f t="shared" si="79"/>
        <v>14.499999999999964</v>
      </c>
      <c r="Y199" s="54">
        <f t="shared" si="80"/>
        <v>25.746943765281323</v>
      </c>
      <c r="Z199" s="54">
        <f t="shared" si="81"/>
        <v>14.499999999999964</v>
      </c>
      <c r="AA199" s="54">
        <f t="shared" si="82"/>
        <v>27.245098039215847</v>
      </c>
      <c r="AB199" s="54">
        <f t="shared" si="83"/>
        <v>24.256097560975704</v>
      </c>
      <c r="AC199" s="54">
        <f t="shared" si="84"/>
        <v>14.499999999999964</v>
      </c>
      <c r="AD199" s="54">
        <f t="shared" si="85"/>
        <v>26.29087875417143</v>
      </c>
      <c r="AE199" s="49"/>
      <c r="AF199" s="54"/>
      <c r="AG199" s="54"/>
      <c r="AI199" s="54">
        <f t="shared" si="86"/>
        <v>14.499999999999964</v>
      </c>
      <c r="AJ199" s="54">
        <f t="shared" si="87"/>
        <v>195</v>
      </c>
    </row>
    <row r="200" spans="2:36" hidden="1" x14ac:dyDescent="0.25">
      <c r="B200" s="51"/>
      <c r="C200" s="51"/>
      <c r="D200" s="51"/>
      <c r="E200" s="54">
        <v>196</v>
      </c>
      <c r="F200" s="54">
        <f t="shared" si="61"/>
        <v>22.659701492537376</v>
      </c>
      <c r="G200" s="54">
        <f t="shared" si="62"/>
        <v>40.275675675675906</v>
      </c>
      <c r="H200" s="54">
        <f t="shared" si="63"/>
        <v>14.599999999999964</v>
      </c>
      <c r="I200" s="54">
        <f t="shared" si="64"/>
        <v>14.599999999999964</v>
      </c>
      <c r="J200" s="54">
        <f t="shared" si="65"/>
        <v>14.599999999999964</v>
      </c>
      <c r="K200" s="54">
        <f t="shared" si="66"/>
        <v>14.599999999999964</v>
      </c>
      <c r="L200" s="54">
        <f t="shared" si="67"/>
        <v>14.599999999999964</v>
      </c>
      <c r="M200" s="54">
        <f t="shared" si="68"/>
        <v>27.320848056537251</v>
      </c>
      <c r="N200" s="54">
        <f t="shared" si="69"/>
        <v>14.599999999999964</v>
      </c>
      <c r="O200" s="54">
        <f t="shared" si="70"/>
        <v>14.599999999999964</v>
      </c>
      <c r="P200" s="54">
        <f t="shared" si="71"/>
        <v>27.400000000000151</v>
      </c>
      <c r="Q200" s="54">
        <f t="shared" si="72"/>
        <v>14.599999999999964</v>
      </c>
      <c r="R200" s="54">
        <f t="shared" si="73"/>
        <v>24.356097560975705</v>
      </c>
      <c r="S200" s="54">
        <f t="shared" si="74"/>
        <v>14.599999999999964</v>
      </c>
      <c r="T200" s="54">
        <f t="shared" si="75"/>
        <v>14.599999999999964</v>
      </c>
      <c r="U200" s="54">
        <f t="shared" si="76"/>
        <v>14.599999999999964</v>
      </c>
      <c r="V200" s="54">
        <f t="shared" si="77"/>
        <v>14.599999999999964</v>
      </c>
      <c r="W200" s="54">
        <f t="shared" si="78"/>
        <v>14.599999999999964</v>
      </c>
      <c r="X200" s="54">
        <f t="shared" si="79"/>
        <v>14.599999999999964</v>
      </c>
      <c r="Y200" s="54">
        <f t="shared" si="80"/>
        <v>25.846943765281324</v>
      </c>
      <c r="Z200" s="54">
        <f t="shared" si="81"/>
        <v>14.599999999999964</v>
      </c>
      <c r="AA200" s="54">
        <f t="shared" si="82"/>
        <v>27.345098039215848</v>
      </c>
      <c r="AB200" s="54">
        <f t="shared" si="83"/>
        <v>24.356097560975705</v>
      </c>
      <c r="AC200" s="54">
        <f t="shared" si="84"/>
        <v>14.599999999999964</v>
      </c>
      <c r="AD200" s="54">
        <f t="shared" si="85"/>
        <v>26.390878754171432</v>
      </c>
      <c r="AE200" s="49"/>
      <c r="AF200" s="54"/>
      <c r="AG200" s="54"/>
      <c r="AI200" s="54">
        <f t="shared" si="86"/>
        <v>14.599999999999964</v>
      </c>
      <c r="AJ200" s="54">
        <f t="shared" si="87"/>
        <v>196</v>
      </c>
    </row>
    <row r="201" spans="2:36" hidden="1" x14ac:dyDescent="0.25">
      <c r="B201" s="51"/>
      <c r="C201" s="51"/>
      <c r="D201" s="51"/>
      <c r="E201" s="54">
        <v>197</v>
      </c>
      <c r="F201" s="54">
        <f t="shared" si="61"/>
        <v>22.759701492537378</v>
      </c>
      <c r="G201" s="54">
        <f t="shared" si="62"/>
        <v>40.375675675675907</v>
      </c>
      <c r="H201" s="54">
        <f t="shared" si="63"/>
        <v>14.699999999999964</v>
      </c>
      <c r="I201" s="54">
        <f t="shared" si="64"/>
        <v>14.699999999999964</v>
      </c>
      <c r="J201" s="54">
        <f t="shared" si="65"/>
        <v>14.699999999999964</v>
      </c>
      <c r="K201" s="54">
        <f t="shared" si="66"/>
        <v>14.699999999999964</v>
      </c>
      <c r="L201" s="54">
        <f t="shared" si="67"/>
        <v>14.699999999999964</v>
      </c>
      <c r="M201" s="54">
        <f t="shared" si="68"/>
        <v>27.420848056537253</v>
      </c>
      <c r="N201" s="54">
        <f t="shared" si="69"/>
        <v>14.699999999999964</v>
      </c>
      <c r="O201" s="54">
        <f t="shared" si="70"/>
        <v>14.699999999999964</v>
      </c>
      <c r="P201" s="54">
        <f t="shared" si="71"/>
        <v>27.500000000000153</v>
      </c>
      <c r="Q201" s="54">
        <f t="shared" si="72"/>
        <v>14.699999999999964</v>
      </c>
      <c r="R201" s="54">
        <f t="shared" si="73"/>
        <v>24.456097560975707</v>
      </c>
      <c r="S201" s="54">
        <f t="shared" si="74"/>
        <v>14.699999999999964</v>
      </c>
      <c r="T201" s="54">
        <f t="shared" si="75"/>
        <v>14.699999999999964</v>
      </c>
      <c r="U201" s="54">
        <f t="shared" si="76"/>
        <v>14.699999999999964</v>
      </c>
      <c r="V201" s="54">
        <f t="shared" si="77"/>
        <v>14.699999999999964</v>
      </c>
      <c r="W201" s="54">
        <f t="shared" si="78"/>
        <v>14.699999999999964</v>
      </c>
      <c r="X201" s="54">
        <f t="shared" si="79"/>
        <v>14.699999999999964</v>
      </c>
      <c r="Y201" s="54">
        <f t="shared" si="80"/>
        <v>25.946943765281326</v>
      </c>
      <c r="Z201" s="54">
        <f t="shared" si="81"/>
        <v>14.699999999999964</v>
      </c>
      <c r="AA201" s="54">
        <f t="shared" si="82"/>
        <v>27.44509803921585</v>
      </c>
      <c r="AB201" s="54">
        <f t="shared" si="83"/>
        <v>24.456097560975707</v>
      </c>
      <c r="AC201" s="54">
        <f t="shared" si="84"/>
        <v>14.699999999999964</v>
      </c>
      <c r="AD201" s="54">
        <f t="shared" si="85"/>
        <v>26.490878754171433</v>
      </c>
      <c r="AE201" s="49"/>
      <c r="AF201" s="54"/>
      <c r="AG201" s="54"/>
      <c r="AI201" s="54">
        <f t="shared" si="86"/>
        <v>14.699999999999964</v>
      </c>
      <c r="AJ201" s="54">
        <f t="shared" si="87"/>
        <v>197</v>
      </c>
    </row>
    <row r="202" spans="2:36" hidden="1" x14ac:dyDescent="0.25">
      <c r="B202" s="51"/>
      <c r="C202" s="51"/>
      <c r="D202" s="51"/>
      <c r="E202" s="54">
        <v>198</v>
      </c>
      <c r="F202" s="54">
        <f t="shared" si="61"/>
        <v>22.859701492537379</v>
      </c>
      <c r="G202" s="54">
        <f t="shared" si="62"/>
        <v>40.475675675675909</v>
      </c>
      <c r="H202" s="54">
        <f t="shared" si="63"/>
        <v>14.799999999999963</v>
      </c>
      <c r="I202" s="54">
        <f t="shared" si="64"/>
        <v>14.799999999999963</v>
      </c>
      <c r="J202" s="54">
        <f t="shared" si="65"/>
        <v>14.799999999999963</v>
      </c>
      <c r="K202" s="54">
        <f t="shared" si="66"/>
        <v>14.799999999999963</v>
      </c>
      <c r="L202" s="54">
        <f t="shared" si="67"/>
        <v>14.799999999999963</v>
      </c>
      <c r="M202" s="54">
        <f t="shared" si="68"/>
        <v>27.520848056537254</v>
      </c>
      <c r="N202" s="54">
        <f t="shared" si="69"/>
        <v>14.799999999999963</v>
      </c>
      <c r="O202" s="54">
        <f t="shared" si="70"/>
        <v>14.799999999999963</v>
      </c>
      <c r="P202" s="54">
        <f t="shared" si="71"/>
        <v>27.600000000000154</v>
      </c>
      <c r="Q202" s="54">
        <f t="shared" si="72"/>
        <v>14.799999999999963</v>
      </c>
      <c r="R202" s="54">
        <f t="shared" si="73"/>
        <v>24.556097560975708</v>
      </c>
      <c r="S202" s="54">
        <f t="shared" si="74"/>
        <v>14.799999999999963</v>
      </c>
      <c r="T202" s="54">
        <f t="shared" si="75"/>
        <v>14.799999999999963</v>
      </c>
      <c r="U202" s="54">
        <f t="shared" si="76"/>
        <v>14.799999999999963</v>
      </c>
      <c r="V202" s="54">
        <f t="shared" si="77"/>
        <v>14.799999999999963</v>
      </c>
      <c r="W202" s="54">
        <f t="shared" si="78"/>
        <v>14.799999999999963</v>
      </c>
      <c r="X202" s="54">
        <f t="shared" si="79"/>
        <v>14.799999999999963</v>
      </c>
      <c r="Y202" s="54">
        <f t="shared" si="80"/>
        <v>26.046943765281327</v>
      </c>
      <c r="Z202" s="54">
        <f t="shared" si="81"/>
        <v>14.799999999999963</v>
      </c>
      <c r="AA202" s="54">
        <f t="shared" si="82"/>
        <v>27.545098039215851</v>
      </c>
      <c r="AB202" s="54">
        <f t="shared" si="83"/>
        <v>24.556097560975708</v>
      </c>
      <c r="AC202" s="54">
        <f t="shared" si="84"/>
        <v>14.799999999999963</v>
      </c>
      <c r="AD202" s="54">
        <f t="shared" si="85"/>
        <v>26.590878754171435</v>
      </c>
      <c r="AE202" s="49"/>
      <c r="AF202" s="54"/>
      <c r="AG202" s="54"/>
      <c r="AI202" s="54">
        <f t="shared" si="86"/>
        <v>14.799999999999963</v>
      </c>
      <c r="AJ202" s="54">
        <f t="shared" si="87"/>
        <v>198</v>
      </c>
    </row>
    <row r="203" spans="2:36" hidden="1" x14ac:dyDescent="0.25">
      <c r="B203" s="51"/>
      <c r="C203" s="51"/>
      <c r="D203" s="51"/>
      <c r="E203" s="54">
        <v>199</v>
      </c>
      <c r="F203" s="54">
        <f t="shared" si="61"/>
        <v>22.959701492537381</v>
      </c>
      <c r="G203" s="54">
        <f t="shared" si="62"/>
        <v>40.57567567567591</v>
      </c>
      <c r="H203" s="54">
        <f t="shared" si="63"/>
        <v>14.899999999999963</v>
      </c>
      <c r="I203" s="54">
        <f t="shared" si="64"/>
        <v>14.899999999999963</v>
      </c>
      <c r="J203" s="54">
        <f t="shared" si="65"/>
        <v>14.899999999999963</v>
      </c>
      <c r="K203" s="54">
        <f t="shared" si="66"/>
        <v>14.899999999999963</v>
      </c>
      <c r="L203" s="54">
        <f t="shared" si="67"/>
        <v>14.899999999999963</v>
      </c>
      <c r="M203" s="54">
        <f t="shared" si="68"/>
        <v>27.620848056537255</v>
      </c>
      <c r="N203" s="54">
        <f t="shared" si="69"/>
        <v>14.899999999999963</v>
      </c>
      <c r="O203" s="54">
        <f t="shared" si="70"/>
        <v>14.899999999999963</v>
      </c>
      <c r="P203" s="54">
        <f t="shared" si="71"/>
        <v>27.700000000000156</v>
      </c>
      <c r="Q203" s="54">
        <f t="shared" si="72"/>
        <v>14.899999999999963</v>
      </c>
      <c r="R203" s="54">
        <f t="shared" si="73"/>
        <v>24.656097560975709</v>
      </c>
      <c r="S203" s="54">
        <f t="shared" si="74"/>
        <v>14.899999999999963</v>
      </c>
      <c r="T203" s="54">
        <f t="shared" si="75"/>
        <v>14.899999999999963</v>
      </c>
      <c r="U203" s="54">
        <f t="shared" si="76"/>
        <v>14.899999999999963</v>
      </c>
      <c r="V203" s="54">
        <f t="shared" si="77"/>
        <v>14.899999999999963</v>
      </c>
      <c r="W203" s="54">
        <f t="shared" si="78"/>
        <v>14.899999999999963</v>
      </c>
      <c r="X203" s="54">
        <f t="shared" si="79"/>
        <v>14.899999999999963</v>
      </c>
      <c r="Y203" s="54">
        <f t="shared" si="80"/>
        <v>26.146943765281328</v>
      </c>
      <c r="Z203" s="54">
        <f t="shared" si="81"/>
        <v>14.899999999999963</v>
      </c>
      <c r="AA203" s="54">
        <f t="shared" si="82"/>
        <v>27.645098039215853</v>
      </c>
      <c r="AB203" s="54">
        <f t="shared" si="83"/>
        <v>24.656097560975709</v>
      </c>
      <c r="AC203" s="54">
        <f t="shared" si="84"/>
        <v>14.899999999999963</v>
      </c>
      <c r="AD203" s="54">
        <f t="shared" si="85"/>
        <v>26.690878754171436</v>
      </c>
      <c r="AE203" s="49"/>
      <c r="AF203" s="54"/>
      <c r="AG203" s="54"/>
      <c r="AI203" s="54">
        <f t="shared" si="86"/>
        <v>14.899999999999963</v>
      </c>
      <c r="AJ203" s="54">
        <f t="shared" si="87"/>
        <v>199</v>
      </c>
    </row>
    <row r="204" spans="2:36" hidden="1" x14ac:dyDescent="0.25">
      <c r="B204" s="51"/>
      <c r="C204" s="51"/>
      <c r="D204" s="51"/>
      <c r="E204" s="54">
        <v>200</v>
      </c>
      <c r="F204" s="54">
        <f t="shared" si="61"/>
        <v>23.059701492537382</v>
      </c>
      <c r="G204" s="54">
        <f t="shared" si="62"/>
        <v>40.675675675675912</v>
      </c>
      <c r="H204" s="54">
        <f t="shared" si="63"/>
        <v>14.999999999999963</v>
      </c>
      <c r="I204" s="54">
        <f t="shared" si="64"/>
        <v>14.999999999999963</v>
      </c>
      <c r="J204" s="54">
        <f t="shared" si="65"/>
        <v>14.999999999999963</v>
      </c>
      <c r="K204" s="54">
        <f t="shared" si="66"/>
        <v>14.999999999999963</v>
      </c>
      <c r="L204" s="54">
        <f t="shared" si="67"/>
        <v>14.999999999999963</v>
      </c>
      <c r="M204" s="54">
        <f t="shared" si="68"/>
        <v>27.720848056537257</v>
      </c>
      <c r="N204" s="54">
        <f t="shared" si="69"/>
        <v>14.999999999999963</v>
      </c>
      <c r="O204" s="54">
        <f t="shared" si="70"/>
        <v>14.999999999999963</v>
      </c>
      <c r="P204" s="54">
        <f t="shared" si="71"/>
        <v>27.800000000000157</v>
      </c>
      <c r="Q204" s="54">
        <f t="shared" si="72"/>
        <v>14.999999999999963</v>
      </c>
      <c r="R204" s="54">
        <f t="shared" si="73"/>
        <v>24.756097560975711</v>
      </c>
      <c r="S204" s="54">
        <f t="shared" si="74"/>
        <v>14.999999999999963</v>
      </c>
      <c r="T204" s="54">
        <f t="shared" si="75"/>
        <v>14.999999999999963</v>
      </c>
      <c r="U204" s="54">
        <f t="shared" si="76"/>
        <v>14.999999999999963</v>
      </c>
      <c r="V204" s="54">
        <f t="shared" si="77"/>
        <v>14.999999999999963</v>
      </c>
      <c r="W204" s="54">
        <f t="shared" si="78"/>
        <v>14.999999999999963</v>
      </c>
      <c r="X204" s="54">
        <f t="shared" si="79"/>
        <v>14.999999999999963</v>
      </c>
      <c r="Y204" s="54">
        <f t="shared" si="80"/>
        <v>26.24694376528133</v>
      </c>
      <c r="Z204" s="54">
        <f t="shared" si="81"/>
        <v>14.999999999999963</v>
      </c>
      <c r="AA204" s="54">
        <f t="shared" si="82"/>
        <v>27.745098039215854</v>
      </c>
      <c r="AB204" s="54">
        <f t="shared" si="83"/>
        <v>24.756097560975711</v>
      </c>
      <c r="AC204" s="54">
        <f t="shared" si="84"/>
        <v>14.999999999999963</v>
      </c>
      <c r="AD204" s="54">
        <f t="shared" si="85"/>
        <v>26.790878754171437</v>
      </c>
      <c r="AE204" s="49"/>
      <c r="AF204" s="54"/>
      <c r="AG204" s="54"/>
      <c r="AI204" s="54">
        <f t="shared" si="86"/>
        <v>14.999999999999963</v>
      </c>
      <c r="AJ204" s="54">
        <f t="shared" si="87"/>
        <v>200</v>
      </c>
    </row>
    <row r="205" spans="2:36" hidden="1" x14ac:dyDescent="0.25">
      <c r="D205" s="5"/>
      <c r="AF205" s="13"/>
      <c r="AG205" s="14"/>
    </row>
    <row r="206" spans="2:36" ht="15.75" x14ac:dyDescent="0.25">
      <c r="B206" s="157" t="s">
        <v>155</v>
      </c>
      <c r="D206" s="5"/>
      <c r="AF206" s="13"/>
      <c r="AG206" s="14"/>
    </row>
    <row r="207" spans="2:36" x14ac:dyDescent="0.25">
      <c r="B207"/>
      <c r="D207" s="5"/>
      <c r="AF207" s="13"/>
      <c r="AG207" s="14"/>
    </row>
    <row r="208" spans="2:36" x14ac:dyDescent="0.25">
      <c r="D208" s="5"/>
      <c r="AF208" s="13"/>
      <c r="AG208" s="14"/>
    </row>
    <row r="209" spans="1:72" ht="21" x14ac:dyDescent="0.25">
      <c r="B209" s="47" t="s">
        <v>36</v>
      </c>
      <c r="D209" s="5"/>
      <c r="E209" s="2" t="s">
        <v>28</v>
      </c>
      <c r="F209" s="2" t="s">
        <v>29</v>
      </c>
      <c r="G209" s="2" t="s">
        <v>30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F209" s="1"/>
      <c r="AG209" s="1"/>
      <c r="AH209" s="1"/>
      <c r="AK209" s="1"/>
    </row>
    <row r="210" spans="1:72" ht="22.5" x14ac:dyDescent="0.25">
      <c r="C210" s="29" t="s">
        <v>33</v>
      </c>
      <c r="D210" s="30" t="s">
        <v>34</v>
      </c>
      <c r="E210" s="158"/>
      <c r="F210" s="28" t="str">
        <f>+IF($E$210=BS223,BT223,IF($E$210=BS224,BT224,IF($E$210=BS225,BT225,IF($E$210=BS226,BT226,IF($E$210=BS227,BT227,IF($E$210=BS228,BT228,IF($E$210=BS229,BT229,IF($E$210=BS230,BT230,IF($E$210=BS231,BT231,IF($E$210=BS232,BT232,IF($E$210=BS233,BT233,IF($E$210=BS234,BT234,IF($E$210=BS235,BT235,IF($E$210=BS236,BT236,IF($E$210=BS237,BT237,IF($E$210=BS238,BT238,IF($E$210=BS239,BT239,IF($E$210=BS240,BT240,IF($E$210=BS241,BT241,IF($E$210=BS242,BT242,""))))))))))))))))))))</f>
        <v/>
      </c>
      <c r="G210" s="28" t="str">
        <f>+IF(E210="","",BS248)</f>
        <v/>
      </c>
      <c r="J210" s="149"/>
      <c r="K210" s="149"/>
      <c r="L210" s="149"/>
      <c r="M210" s="149"/>
      <c r="N210" s="150"/>
      <c r="O210" s="149"/>
      <c r="P210" s="149"/>
      <c r="Q210" s="149"/>
      <c r="R210" s="150"/>
      <c r="S210" s="149"/>
      <c r="T210" s="149"/>
      <c r="U210" s="149"/>
      <c r="V210" s="16"/>
      <c r="W210" s="16"/>
      <c r="X210" s="16"/>
      <c r="Y210" s="16"/>
      <c r="Z210" s="16"/>
      <c r="AA210" s="16"/>
      <c r="AB210" s="16"/>
      <c r="AC210" s="16"/>
      <c r="AD210" s="16"/>
      <c r="AF210" s="1"/>
      <c r="AG210" s="1"/>
      <c r="AH210" s="1"/>
      <c r="AK210" s="1"/>
    </row>
    <row r="211" spans="1:72" ht="15.75" thickBot="1" x14ac:dyDescent="0.3">
      <c r="A211" s="25"/>
      <c r="B211" s="25"/>
      <c r="D211" s="5"/>
      <c r="E211" s="25"/>
      <c r="F211" s="25"/>
      <c r="G211" s="25"/>
      <c r="J211" s="149"/>
      <c r="K211" s="149"/>
      <c r="L211" s="149"/>
      <c r="M211" s="149"/>
      <c r="N211" s="150"/>
      <c r="O211" s="149"/>
      <c r="P211" s="149"/>
      <c r="Q211" s="149"/>
      <c r="R211" s="150"/>
      <c r="S211" s="149"/>
      <c r="T211" s="149"/>
      <c r="U211" s="149"/>
      <c r="V211" s="16"/>
      <c r="W211" s="16"/>
      <c r="X211" s="16"/>
      <c r="Y211" s="16"/>
      <c r="Z211" s="16"/>
      <c r="AA211" s="16"/>
      <c r="AB211" s="16"/>
      <c r="AC211" s="16"/>
      <c r="AD211" s="16"/>
      <c r="AF211" s="1"/>
      <c r="AG211" s="1"/>
      <c r="AH211" s="1"/>
      <c r="AK211" s="1"/>
    </row>
    <row r="212" spans="1:72" ht="15.75" thickBot="1" x14ac:dyDescent="0.3">
      <c r="A212" s="3">
        <v>3</v>
      </c>
      <c r="B212" s="97" t="s">
        <v>37</v>
      </c>
      <c r="C212" s="3"/>
      <c r="D212" s="3"/>
      <c r="J212" s="149" t="str">
        <f>+CONCATENATE("DIPLOMATI PER GENERE - ",D215)</f>
        <v xml:space="preserve">DIPLOMATI PER GENERE - </v>
      </c>
      <c r="K212" s="151">
        <f>+$E$210</f>
        <v>0</v>
      </c>
      <c r="L212" s="151" t="str">
        <f>+$F$210</f>
        <v/>
      </c>
      <c r="M212" s="151" t="str">
        <f>+$G$210</f>
        <v/>
      </c>
      <c r="N212" s="149"/>
      <c r="O212" s="149"/>
      <c r="P212" s="152"/>
      <c r="Q212" s="149" t="str">
        <f>+CONCATENATE("LAUREATI PER GENERE - ",D220)</f>
        <v xml:space="preserve">LAUREATI PER GENERE - </v>
      </c>
      <c r="R212" s="151">
        <f>+$E$210</f>
        <v>0</v>
      </c>
      <c r="S212" s="151" t="str">
        <f>+$F$210</f>
        <v/>
      </c>
      <c r="T212" s="151" t="str">
        <f>+$G$210</f>
        <v/>
      </c>
      <c r="U212" s="152"/>
      <c r="AF212" s="13"/>
      <c r="AG212" s="14"/>
    </row>
    <row r="213" spans="1:72" x14ac:dyDescent="0.25">
      <c r="A213" s="3">
        <v>4</v>
      </c>
      <c r="B213" s="98" t="s">
        <v>38</v>
      </c>
      <c r="C213" s="31" t="str">
        <f>IF(E$210="","",HLOOKUP(C$210,$B$3:$AG$204,$A213,0))</f>
        <v/>
      </c>
      <c r="D213" s="32" t="str">
        <f t="shared" ref="D213:D276" si="88">IF(E$210="","",HLOOKUP(D$210,$B$3:$AG$204,$A213,0))</f>
        <v/>
      </c>
      <c r="E213" s="107" t="str">
        <f t="shared" ref="E213:G234" si="89">IF(E$210="","",HLOOKUP(E$210,$B$3:$AG$204,$A213,0))</f>
        <v/>
      </c>
      <c r="F213" s="107" t="str">
        <f t="shared" si="89"/>
        <v/>
      </c>
      <c r="G213" s="107" t="str">
        <f t="shared" si="89"/>
        <v/>
      </c>
      <c r="J213" s="149" t="s">
        <v>134</v>
      </c>
      <c r="K213" s="153" t="e">
        <f>+E213/E$215</f>
        <v>#VALUE!</v>
      </c>
      <c r="L213" s="153" t="e">
        <f t="shared" ref="L213:M214" si="90">+F213/F$215</f>
        <v>#VALUE!</v>
      </c>
      <c r="M213" s="153" t="e">
        <f t="shared" si="90"/>
        <v>#VALUE!</v>
      </c>
      <c r="N213" s="149"/>
      <c r="O213" s="149"/>
      <c r="P213" s="152"/>
      <c r="Q213" s="149" t="s">
        <v>134</v>
      </c>
      <c r="R213" s="153" t="e">
        <f>+E218/E$220</f>
        <v>#VALUE!</v>
      </c>
      <c r="S213" s="153" t="e">
        <f t="shared" ref="S213:T213" si="91">+F218/F$220</f>
        <v>#VALUE!</v>
      </c>
      <c r="T213" s="153" t="e">
        <f t="shared" si="91"/>
        <v>#VALUE!</v>
      </c>
      <c r="U213" s="152"/>
      <c r="AF213" s="13"/>
      <c r="AG213" s="14"/>
    </row>
    <row r="214" spans="1:72" x14ac:dyDescent="0.25">
      <c r="A214" s="3">
        <v>5</v>
      </c>
      <c r="B214" s="67" t="s">
        <v>40</v>
      </c>
      <c r="C214" s="31" t="str">
        <f t="shared" ref="C214:C237" si="92">IF(E$210="","",HLOOKUP(C$210,$B$3:$AG$204,$A214,0))</f>
        <v/>
      </c>
      <c r="D214" s="32" t="str">
        <f t="shared" si="88"/>
        <v/>
      </c>
      <c r="E214" s="107" t="str">
        <f t="shared" si="89"/>
        <v/>
      </c>
      <c r="F214" s="107" t="str">
        <f t="shared" si="89"/>
        <v/>
      </c>
      <c r="G214" s="107" t="str">
        <f t="shared" si="89"/>
        <v/>
      </c>
      <c r="J214" s="149" t="s">
        <v>135</v>
      </c>
      <c r="K214" s="153" t="e">
        <f>+E214/E$215</f>
        <v>#VALUE!</v>
      </c>
      <c r="L214" s="153" t="e">
        <f t="shared" si="90"/>
        <v>#VALUE!</v>
      </c>
      <c r="M214" s="153" t="e">
        <f t="shared" si="90"/>
        <v>#VALUE!</v>
      </c>
      <c r="N214" s="149"/>
      <c r="O214" s="149"/>
      <c r="P214" s="152"/>
      <c r="Q214" s="149" t="s">
        <v>135</v>
      </c>
      <c r="R214" s="153" t="e">
        <f>+E219/E$220</f>
        <v>#VALUE!</v>
      </c>
      <c r="S214" s="153" t="e">
        <f t="shared" ref="S214" si="93">+F219/F$220</f>
        <v>#VALUE!</v>
      </c>
      <c r="T214" s="153" t="e">
        <f t="shared" ref="T214" si="94">+G219/G$220</f>
        <v>#VALUE!</v>
      </c>
      <c r="U214" s="152"/>
      <c r="AF214" s="13"/>
      <c r="AG214" s="14"/>
    </row>
    <row r="215" spans="1:72" x14ac:dyDescent="0.25">
      <c r="A215" s="3">
        <v>6</v>
      </c>
      <c r="B215" s="71" t="s">
        <v>41</v>
      </c>
      <c r="C215" s="31" t="str">
        <f t="shared" si="92"/>
        <v/>
      </c>
      <c r="D215" s="32" t="str">
        <f t="shared" si="88"/>
        <v/>
      </c>
      <c r="E215" s="107" t="str">
        <f t="shared" si="89"/>
        <v/>
      </c>
      <c r="F215" s="107" t="str">
        <f t="shared" si="89"/>
        <v/>
      </c>
      <c r="G215" s="107" t="str">
        <f t="shared" si="89"/>
        <v/>
      </c>
      <c r="L215" s="26"/>
      <c r="M215" s="26"/>
      <c r="P215" s="26"/>
      <c r="Q215" s="26"/>
      <c r="T215" s="26"/>
      <c r="U215" s="26"/>
      <c r="AF215" s="13"/>
      <c r="AG215" s="14"/>
    </row>
    <row r="216" spans="1:72" x14ac:dyDescent="0.25">
      <c r="A216" s="3">
        <v>7</v>
      </c>
      <c r="B216" s="75" t="s">
        <v>42</v>
      </c>
      <c r="C216" s="31" t="str">
        <f t="shared" si="92"/>
        <v/>
      </c>
      <c r="D216" s="32" t="str">
        <f t="shared" si="88"/>
        <v/>
      </c>
      <c r="E216" s="50" t="str">
        <f t="shared" si="89"/>
        <v/>
      </c>
      <c r="F216" s="50" t="str">
        <f t="shared" si="89"/>
        <v/>
      </c>
      <c r="G216" s="50" t="str">
        <f t="shared" si="89"/>
        <v/>
      </c>
      <c r="L216" s="26"/>
      <c r="M216" s="26"/>
      <c r="N216" s="1"/>
      <c r="P216" s="26"/>
      <c r="Q216" s="26"/>
      <c r="T216" s="26"/>
      <c r="U216" s="26"/>
      <c r="AF216" s="13"/>
      <c r="AG216" s="14"/>
    </row>
    <row r="217" spans="1:72" ht="6" customHeight="1" x14ac:dyDescent="0.25">
      <c r="A217" s="3">
        <v>8</v>
      </c>
      <c r="B217" s="109"/>
      <c r="C217" s="106"/>
      <c r="D217" s="106"/>
      <c r="E217" s="106"/>
      <c r="F217" s="106"/>
      <c r="G217" s="106"/>
      <c r="L217" s="26"/>
      <c r="M217" s="26"/>
      <c r="N217" s="1"/>
      <c r="P217" s="26"/>
      <c r="Q217" s="26"/>
      <c r="T217" s="26"/>
      <c r="U217" s="26"/>
      <c r="AF217" s="13"/>
      <c r="AG217" s="14"/>
    </row>
    <row r="218" spans="1:72" x14ac:dyDescent="0.25">
      <c r="A218" s="3">
        <v>9</v>
      </c>
      <c r="B218" s="67" t="s">
        <v>44</v>
      </c>
      <c r="C218" s="31" t="str">
        <f t="shared" si="92"/>
        <v/>
      </c>
      <c r="D218" s="32" t="str">
        <f t="shared" si="88"/>
        <v/>
      </c>
      <c r="E218" s="107" t="str">
        <f t="shared" si="89"/>
        <v/>
      </c>
      <c r="F218" s="107" t="str">
        <f t="shared" si="89"/>
        <v/>
      </c>
      <c r="G218" s="107" t="str">
        <f t="shared" si="89"/>
        <v/>
      </c>
      <c r="AF218" s="13"/>
      <c r="AG218" s="14"/>
    </row>
    <row r="219" spans="1:72" x14ac:dyDescent="0.25">
      <c r="A219" s="3">
        <v>10</v>
      </c>
      <c r="B219" s="67" t="s">
        <v>45</v>
      </c>
      <c r="C219" s="31" t="str">
        <f t="shared" si="92"/>
        <v/>
      </c>
      <c r="D219" s="32" t="str">
        <f t="shared" si="88"/>
        <v/>
      </c>
      <c r="E219" s="107" t="str">
        <f t="shared" si="89"/>
        <v/>
      </c>
      <c r="F219" s="107" t="str">
        <f t="shared" si="89"/>
        <v/>
      </c>
      <c r="G219" s="107" t="str">
        <f t="shared" si="89"/>
        <v/>
      </c>
      <c r="AF219" s="13"/>
      <c r="AG219" s="14"/>
    </row>
    <row r="220" spans="1:72" x14ac:dyDescent="0.25">
      <c r="A220" s="3">
        <v>11</v>
      </c>
      <c r="B220" s="71" t="s">
        <v>46</v>
      </c>
      <c r="C220" s="31" t="str">
        <f t="shared" si="92"/>
        <v/>
      </c>
      <c r="D220" s="32" t="str">
        <f t="shared" si="88"/>
        <v/>
      </c>
      <c r="E220" s="107" t="str">
        <f t="shared" si="89"/>
        <v/>
      </c>
      <c r="F220" s="107" t="str">
        <f t="shared" si="89"/>
        <v/>
      </c>
      <c r="G220" s="107" t="str">
        <f t="shared" si="89"/>
        <v/>
      </c>
      <c r="AF220" s="13"/>
      <c r="AG220" s="14"/>
    </row>
    <row r="221" spans="1:72" x14ac:dyDescent="0.25">
      <c r="A221" s="3">
        <v>12</v>
      </c>
      <c r="B221" s="75" t="s">
        <v>47</v>
      </c>
      <c r="C221" s="31" t="str">
        <f t="shared" si="92"/>
        <v/>
      </c>
      <c r="D221" s="32" t="str">
        <f t="shared" si="88"/>
        <v/>
      </c>
      <c r="E221" s="50" t="str">
        <f t="shared" si="89"/>
        <v/>
      </c>
      <c r="F221" s="50" t="str">
        <f t="shared" si="89"/>
        <v/>
      </c>
      <c r="G221" s="50" t="str">
        <f t="shared" si="89"/>
        <v/>
      </c>
      <c r="AF221" s="13"/>
      <c r="AG221" s="14"/>
    </row>
    <row r="222" spans="1:72" ht="15.75" thickBot="1" x14ac:dyDescent="0.3">
      <c r="A222" s="3">
        <v>13</v>
      </c>
      <c r="B222" s="66"/>
      <c r="C222" s="3"/>
      <c r="D222" s="3"/>
      <c r="AF222" s="13"/>
      <c r="AG222" s="14"/>
    </row>
    <row r="223" spans="1:72" ht="15.75" thickBot="1" x14ac:dyDescent="0.3">
      <c r="A223" s="3">
        <v>14</v>
      </c>
      <c r="B223" s="90" t="s">
        <v>48</v>
      </c>
      <c r="C223" s="3"/>
      <c r="D223" s="3"/>
      <c r="AF223" s="13"/>
      <c r="AG223" s="14"/>
      <c r="BS223" s="17" t="s">
        <v>0</v>
      </c>
      <c r="BT223" s="18" t="s">
        <v>20</v>
      </c>
    </row>
    <row r="224" spans="1:72" x14ac:dyDescent="0.25">
      <c r="A224" s="3">
        <v>15</v>
      </c>
      <c r="B224" s="92" t="s">
        <v>49</v>
      </c>
      <c r="C224" s="31" t="str">
        <f t="shared" si="92"/>
        <v/>
      </c>
      <c r="D224" s="32" t="str">
        <f t="shared" si="88"/>
        <v/>
      </c>
      <c r="E224" s="50" t="str">
        <f t="shared" si="89"/>
        <v/>
      </c>
      <c r="F224" s="50" t="str">
        <f t="shared" si="89"/>
        <v/>
      </c>
      <c r="G224" s="50" t="str">
        <f t="shared" si="89"/>
        <v/>
      </c>
      <c r="AF224" s="13"/>
      <c r="AG224" s="14"/>
      <c r="BS224" s="19" t="s">
        <v>1</v>
      </c>
      <c r="BT224" s="20" t="s">
        <v>20</v>
      </c>
    </row>
    <row r="225" spans="1:72" x14ac:dyDescent="0.25">
      <c r="A225" s="3">
        <v>16</v>
      </c>
      <c r="B225" s="67" t="s">
        <v>50</v>
      </c>
      <c r="C225" s="31" t="str">
        <f t="shared" si="92"/>
        <v/>
      </c>
      <c r="D225" s="32" t="str">
        <f t="shared" si="88"/>
        <v/>
      </c>
      <c r="E225" s="50" t="str">
        <f t="shared" si="89"/>
        <v/>
      </c>
      <c r="F225" s="50" t="str">
        <f t="shared" si="89"/>
        <v/>
      </c>
      <c r="G225" s="50" t="str">
        <f t="shared" si="89"/>
        <v/>
      </c>
      <c r="AF225" s="13"/>
      <c r="AG225" s="14"/>
      <c r="BS225" s="19" t="s">
        <v>2</v>
      </c>
      <c r="BT225" s="20" t="s">
        <v>20</v>
      </c>
    </row>
    <row r="226" spans="1:72" ht="15.75" thickBot="1" x14ac:dyDescent="0.3">
      <c r="A226" s="3">
        <v>17</v>
      </c>
      <c r="B226" s="66"/>
      <c r="C226" s="3"/>
      <c r="D226" s="3"/>
      <c r="AF226" s="13"/>
      <c r="AG226" s="14"/>
      <c r="BS226" s="21" t="s">
        <v>3</v>
      </c>
      <c r="BT226" s="22" t="s">
        <v>20</v>
      </c>
    </row>
    <row r="227" spans="1:72" ht="15.75" thickBot="1" x14ac:dyDescent="0.3">
      <c r="A227" s="3">
        <v>18</v>
      </c>
      <c r="B227" s="97" t="s">
        <v>52</v>
      </c>
      <c r="C227" s="3"/>
      <c r="D227" s="3"/>
      <c r="AF227" s="13"/>
      <c r="AG227" s="14"/>
      <c r="BS227" s="17" t="s">
        <v>4</v>
      </c>
      <c r="BT227" s="18" t="s">
        <v>21</v>
      </c>
    </row>
    <row r="228" spans="1:72" x14ac:dyDescent="0.25">
      <c r="A228" s="3">
        <v>19</v>
      </c>
      <c r="B228" s="98" t="s">
        <v>53</v>
      </c>
      <c r="C228" s="31" t="str">
        <f t="shared" si="92"/>
        <v/>
      </c>
      <c r="D228" s="32" t="str">
        <f t="shared" si="88"/>
        <v/>
      </c>
      <c r="E228" s="50" t="str">
        <f t="shared" si="89"/>
        <v/>
      </c>
      <c r="F228" s="50" t="str">
        <f t="shared" si="89"/>
        <v/>
      </c>
      <c r="G228" s="50" t="str">
        <f t="shared" si="89"/>
        <v/>
      </c>
      <c r="I228" s="1"/>
      <c r="J228" s="1"/>
      <c r="N228" s="1"/>
      <c r="O228" s="1"/>
      <c r="R228" s="1"/>
      <c r="S228" s="1"/>
      <c r="AF228" s="13"/>
      <c r="AG228" s="14"/>
      <c r="BS228" s="19" t="s">
        <v>5</v>
      </c>
      <c r="BT228" s="20" t="s">
        <v>21</v>
      </c>
    </row>
    <row r="229" spans="1:72" x14ac:dyDescent="0.25">
      <c r="A229" s="3">
        <v>20</v>
      </c>
      <c r="B229" s="67" t="s">
        <v>54</v>
      </c>
      <c r="C229" s="31" t="str">
        <f t="shared" si="92"/>
        <v/>
      </c>
      <c r="D229" s="32" t="str">
        <f t="shared" si="88"/>
        <v/>
      </c>
      <c r="E229" s="50" t="str">
        <f t="shared" si="89"/>
        <v/>
      </c>
      <c r="F229" s="50" t="str">
        <f t="shared" si="89"/>
        <v/>
      </c>
      <c r="G229" s="50" t="str">
        <f t="shared" si="89"/>
        <v/>
      </c>
      <c r="AF229" s="13"/>
      <c r="AG229" s="14"/>
      <c r="BS229" s="19" t="s">
        <v>6</v>
      </c>
      <c r="BT229" s="20" t="s">
        <v>21</v>
      </c>
    </row>
    <row r="230" spans="1:72" x14ac:dyDescent="0.25">
      <c r="A230" s="3">
        <v>21</v>
      </c>
      <c r="B230" s="67" t="s">
        <v>55</v>
      </c>
      <c r="C230" s="31" t="str">
        <f t="shared" si="92"/>
        <v/>
      </c>
      <c r="D230" s="32" t="str">
        <f t="shared" si="88"/>
        <v/>
      </c>
      <c r="E230" s="50" t="str">
        <f t="shared" si="89"/>
        <v/>
      </c>
      <c r="F230" s="50" t="str">
        <f t="shared" si="89"/>
        <v/>
      </c>
      <c r="G230" s="50" t="str">
        <f t="shared" si="89"/>
        <v/>
      </c>
      <c r="AF230" s="13"/>
      <c r="AG230" s="14"/>
      <c r="BS230" s="21" t="s">
        <v>7</v>
      </c>
      <c r="BT230" s="22" t="s">
        <v>21</v>
      </c>
    </row>
    <row r="231" spans="1:72" x14ac:dyDescent="0.25">
      <c r="A231" s="3">
        <v>22</v>
      </c>
      <c r="B231" s="67" t="s">
        <v>56</v>
      </c>
      <c r="C231" s="31" t="str">
        <f t="shared" si="92"/>
        <v/>
      </c>
      <c r="D231" s="32" t="str">
        <f t="shared" si="88"/>
        <v/>
      </c>
      <c r="E231" s="50" t="str">
        <f t="shared" si="89"/>
        <v/>
      </c>
      <c r="F231" s="50" t="str">
        <f t="shared" si="89"/>
        <v/>
      </c>
      <c r="G231" s="50" t="str">
        <f t="shared" si="89"/>
        <v/>
      </c>
      <c r="AF231" s="13"/>
      <c r="AG231" s="14"/>
      <c r="BS231" s="17" t="s">
        <v>8</v>
      </c>
      <c r="BT231" s="18" t="s">
        <v>22</v>
      </c>
    </row>
    <row r="232" spans="1:72" ht="15.75" thickBot="1" x14ac:dyDescent="0.3">
      <c r="A232" s="3">
        <v>23</v>
      </c>
      <c r="B232" s="66"/>
      <c r="C232" s="3"/>
      <c r="D232" s="3"/>
      <c r="AF232" s="13"/>
      <c r="AG232" s="14"/>
      <c r="BS232" s="19" t="s">
        <v>9</v>
      </c>
      <c r="BT232" s="20" t="s">
        <v>22</v>
      </c>
    </row>
    <row r="233" spans="1:72" ht="15.75" thickBot="1" x14ac:dyDescent="0.3">
      <c r="A233" s="3">
        <v>24</v>
      </c>
      <c r="B233" s="97" t="s">
        <v>57</v>
      </c>
      <c r="C233" s="3"/>
      <c r="D233" s="3"/>
      <c r="I233" s="3" t="str">
        <f>CONCATENATE("DISTRIBUZIONE DELLE DONNE PER TIPOLOGIA DI ISTRUZIONE - ",$E$210," (",D234,")")</f>
        <v>DISTRIBUZIONE DELLE DONNE PER TIPOLOGIA DI ISTRUZIONE -  ()</v>
      </c>
      <c r="O233" s="3" t="str">
        <f>CONCATENATE("DISTRIBUZIONE DELLE DONNE PER TIPOLOGIA DI ISTRUZIONE - ",$F$210," (",D234,")")</f>
        <v>DISTRIBUZIONE DELLE DONNE PER TIPOLOGIA DI ISTRUZIONE -  ()</v>
      </c>
      <c r="U233" s="3" t="str">
        <f>CONCATENATE("DISTRIBUZIONE DELLE DONNE PER TIPOLOGIA DI ISTRUZIONE - ",$G$210," (",D234,")")</f>
        <v>DISTRIBUZIONE DELLE DONNE PER TIPOLOGIA DI ISTRUZIONE -  ()</v>
      </c>
      <c r="AF233" s="13"/>
      <c r="AG233" s="14"/>
      <c r="BS233" s="19" t="s">
        <v>10</v>
      </c>
      <c r="BT233" s="20" t="s">
        <v>22</v>
      </c>
    </row>
    <row r="234" spans="1:72" x14ac:dyDescent="0.25">
      <c r="A234" s="3">
        <v>25</v>
      </c>
      <c r="B234" s="101" t="s">
        <v>58</v>
      </c>
      <c r="C234" s="31" t="str">
        <f t="shared" si="92"/>
        <v/>
      </c>
      <c r="D234" s="32" t="str">
        <f t="shared" si="88"/>
        <v/>
      </c>
      <c r="E234" s="50" t="str">
        <f t="shared" si="89"/>
        <v/>
      </c>
      <c r="F234" s="50" t="str">
        <f t="shared" si="89"/>
        <v/>
      </c>
      <c r="G234" s="50" t="str">
        <f t="shared" si="89"/>
        <v/>
      </c>
      <c r="I234" s="3" t="s">
        <v>132</v>
      </c>
      <c r="J234" s="136" t="str">
        <f>+E234</f>
        <v/>
      </c>
      <c r="O234" s="3" t="s">
        <v>132</v>
      </c>
      <c r="P234" s="136" t="str">
        <f>+F234</f>
        <v/>
      </c>
      <c r="U234" s="3" t="s">
        <v>132</v>
      </c>
      <c r="V234" s="136" t="str">
        <f>+G234</f>
        <v/>
      </c>
      <c r="AF234" s="13"/>
      <c r="AG234" s="14"/>
      <c r="BS234" s="21" t="s">
        <v>11</v>
      </c>
      <c r="BT234" s="22" t="s">
        <v>22</v>
      </c>
    </row>
    <row r="235" spans="1:72" x14ac:dyDescent="0.25">
      <c r="A235" s="3">
        <v>26</v>
      </c>
      <c r="B235" s="101" t="s">
        <v>59</v>
      </c>
      <c r="C235" s="31" t="str">
        <f t="shared" si="92"/>
        <v/>
      </c>
      <c r="D235" s="32" t="str">
        <f t="shared" si="88"/>
        <v/>
      </c>
      <c r="E235" s="50" t="str">
        <f t="shared" ref="E235:G250" si="95">IF(E$210="","",HLOOKUP(E$210,$B$3:$AG$204,$A235,0))</f>
        <v/>
      </c>
      <c r="F235" s="50" t="str">
        <f t="shared" si="95"/>
        <v/>
      </c>
      <c r="G235" s="50" t="str">
        <f t="shared" si="95"/>
        <v/>
      </c>
      <c r="I235" s="3" t="s">
        <v>129</v>
      </c>
      <c r="J235" s="136" t="str">
        <f>+E235</f>
        <v/>
      </c>
      <c r="O235" s="3" t="s">
        <v>129</v>
      </c>
      <c r="P235" s="136" t="str">
        <f t="shared" ref="P235:P238" si="96">+F235</f>
        <v/>
      </c>
      <c r="U235" s="3" t="s">
        <v>129</v>
      </c>
      <c r="V235" s="136" t="str">
        <f t="shared" ref="V235:V238" si="97">+G235</f>
        <v/>
      </c>
      <c r="AF235" s="13"/>
      <c r="AG235" s="14"/>
      <c r="BS235" s="17" t="s">
        <v>12</v>
      </c>
      <c r="BT235" s="18" t="s">
        <v>23</v>
      </c>
    </row>
    <row r="236" spans="1:72" x14ac:dyDescent="0.25">
      <c r="A236" s="3">
        <v>27</v>
      </c>
      <c r="B236" s="101" t="s">
        <v>60</v>
      </c>
      <c r="C236" s="31" t="str">
        <f t="shared" si="92"/>
        <v/>
      </c>
      <c r="D236" s="32" t="str">
        <f t="shared" si="88"/>
        <v/>
      </c>
      <c r="E236" s="50" t="str">
        <f t="shared" si="95"/>
        <v/>
      </c>
      <c r="F236" s="50" t="str">
        <f t="shared" si="95"/>
        <v/>
      </c>
      <c r="G236" s="50" t="str">
        <f t="shared" si="95"/>
        <v/>
      </c>
      <c r="I236" s="3" t="s">
        <v>130</v>
      </c>
      <c r="J236" s="136" t="str">
        <f>+E236</f>
        <v/>
      </c>
      <c r="O236" s="3" t="s">
        <v>130</v>
      </c>
      <c r="P236" s="136" t="str">
        <f t="shared" si="96"/>
        <v/>
      </c>
      <c r="U236" s="3" t="s">
        <v>130</v>
      </c>
      <c r="V236" s="136" t="str">
        <f t="shared" si="97"/>
        <v/>
      </c>
      <c r="AF236" s="13"/>
      <c r="AG236" s="14"/>
      <c r="BS236" s="19" t="s">
        <v>13</v>
      </c>
      <c r="BT236" s="20" t="s">
        <v>23</v>
      </c>
    </row>
    <row r="237" spans="1:72" x14ac:dyDescent="0.25">
      <c r="A237" s="3">
        <v>28</v>
      </c>
      <c r="B237" s="101" t="s">
        <v>61</v>
      </c>
      <c r="C237" s="31" t="str">
        <f t="shared" si="92"/>
        <v/>
      </c>
      <c r="D237" s="32" t="str">
        <f t="shared" si="88"/>
        <v/>
      </c>
      <c r="E237" s="50" t="str">
        <f t="shared" si="95"/>
        <v/>
      </c>
      <c r="F237" s="50" t="str">
        <f t="shared" si="95"/>
        <v/>
      </c>
      <c r="G237" s="50" t="str">
        <f t="shared" si="95"/>
        <v/>
      </c>
      <c r="I237" s="3" t="s">
        <v>131</v>
      </c>
      <c r="J237" s="136" t="str">
        <f>+E237</f>
        <v/>
      </c>
      <c r="O237" s="3" t="s">
        <v>131</v>
      </c>
      <c r="P237" s="136" t="str">
        <f t="shared" si="96"/>
        <v/>
      </c>
      <c r="U237" s="3" t="s">
        <v>131</v>
      </c>
      <c r="V237" s="136" t="str">
        <f t="shared" si="97"/>
        <v/>
      </c>
      <c r="AF237" s="13"/>
      <c r="AG237" s="14"/>
      <c r="BS237" s="19" t="s">
        <v>14</v>
      </c>
      <c r="BT237" s="20" t="s">
        <v>23</v>
      </c>
    </row>
    <row r="238" spans="1:72" x14ac:dyDescent="0.25">
      <c r="A238" s="3">
        <v>29</v>
      </c>
      <c r="B238" s="101" t="s">
        <v>62</v>
      </c>
      <c r="C238" s="31" t="str">
        <f t="shared" ref="C238:C301" si="98">IF(E$210="","",HLOOKUP(C$210,$B$3:$AG$204,$A238,0))</f>
        <v/>
      </c>
      <c r="D238" s="32" t="str">
        <f t="shared" si="88"/>
        <v/>
      </c>
      <c r="E238" s="50" t="str">
        <f t="shared" si="95"/>
        <v/>
      </c>
      <c r="F238" s="50" t="str">
        <f t="shared" si="95"/>
        <v/>
      </c>
      <c r="G238" s="50" t="str">
        <f t="shared" si="95"/>
        <v/>
      </c>
      <c r="I238" s="3" t="s">
        <v>133</v>
      </c>
      <c r="J238" s="136" t="str">
        <f>+E238</f>
        <v/>
      </c>
      <c r="O238" s="3" t="s">
        <v>133</v>
      </c>
      <c r="P238" s="136" t="str">
        <f t="shared" si="96"/>
        <v/>
      </c>
      <c r="U238" s="3" t="s">
        <v>133</v>
      </c>
      <c r="V238" s="136" t="str">
        <f t="shared" si="97"/>
        <v/>
      </c>
      <c r="AF238" s="13"/>
      <c r="AG238" s="14"/>
      <c r="BS238" s="19" t="s">
        <v>15</v>
      </c>
      <c r="BT238" s="20" t="s">
        <v>23</v>
      </c>
    </row>
    <row r="239" spans="1:72" ht="6" customHeight="1" x14ac:dyDescent="0.25">
      <c r="A239" s="3">
        <v>30</v>
      </c>
      <c r="B239" s="109"/>
      <c r="C239" s="106"/>
      <c r="D239" s="106"/>
      <c r="E239" s="106"/>
      <c r="F239" s="106"/>
      <c r="G239" s="106"/>
      <c r="V239" s="136"/>
      <c r="AF239" s="13"/>
      <c r="AG239" s="14"/>
      <c r="BS239" s="19" t="s">
        <v>16</v>
      </c>
      <c r="BT239" s="20" t="s">
        <v>23</v>
      </c>
    </row>
    <row r="240" spans="1:72" x14ac:dyDescent="0.25">
      <c r="A240" s="3">
        <v>31</v>
      </c>
      <c r="B240" s="101" t="s">
        <v>63</v>
      </c>
      <c r="C240" s="31" t="str">
        <f t="shared" si="98"/>
        <v/>
      </c>
      <c r="D240" s="32" t="str">
        <f t="shared" si="88"/>
        <v/>
      </c>
      <c r="E240" s="50" t="str">
        <f t="shared" si="95"/>
        <v/>
      </c>
      <c r="F240" s="50" t="str">
        <f t="shared" si="95"/>
        <v/>
      </c>
      <c r="G240" s="50" t="str">
        <f t="shared" si="95"/>
        <v/>
      </c>
      <c r="AF240" s="13"/>
      <c r="AG240" s="14"/>
      <c r="BS240" s="21" t="s">
        <v>17</v>
      </c>
      <c r="BT240" s="22" t="s">
        <v>23</v>
      </c>
    </row>
    <row r="241" spans="1:72" ht="6" customHeight="1" x14ac:dyDescent="0.25">
      <c r="A241" s="3">
        <v>32</v>
      </c>
      <c r="B241" s="108"/>
      <c r="C241" s="106"/>
      <c r="D241" s="106"/>
      <c r="E241" s="106"/>
      <c r="F241" s="106"/>
      <c r="G241" s="106"/>
      <c r="AF241" s="13"/>
      <c r="AG241" s="14"/>
      <c r="BS241" s="17" t="s">
        <v>18</v>
      </c>
      <c r="BT241" s="18" t="s">
        <v>24</v>
      </c>
    </row>
    <row r="242" spans="1:72" x14ac:dyDescent="0.25">
      <c r="A242" s="3">
        <v>33</v>
      </c>
      <c r="B242" s="101" t="s">
        <v>64</v>
      </c>
      <c r="C242" s="31" t="str">
        <f t="shared" si="98"/>
        <v/>
      </c>
      <c r="D242" s="32" t="str">
        <f t="shared" si="88"/>
        <v/>
      </c>
      <c r="E242" s="50" t="str">
        <f t="shared" si="95"/>
        <v/>
      </c>
      <c r="F242" s="50" t="str">
        <f t="shared" si="95"/>
        <v/>
      </c>
      <c r="G242" s="50" t="str">
        <f t="shared" si="95"/>
        <v/>
      </c>
      <c r="AF242" s="13"/>
      <c r="AG242" s="14"/>
      <c r="BS242" s="21" t="s">
        <v>19</v>
      </c>
      <c r="BT242" s="22" t="s">
        <v>24</v>
      </c>
    </row>
    <row r="243" spans="1:72" x14ac:dyDescent="0.25">
      <c r="A243" s="3">
        <v>34</v>
      </c>
      <c r="B243" s="101" t="s">
        <v>65</v>
      </c>
      <c r="C243" s="31" t="str">
        <f t="shared" si="98"/>
        <v/>
      </c>
      <c r="D243" s="32" t="str">
        <f t="shared" si="88"/>
        <v/>
      </c>
      <c r="E243" s="50" t="str">
        <f t="shared" si="95"/>
        <v/>
      </c>
      <c r="F243" s="50" t="str">
        <f t="shared" si="95"/>
        <v/>
      </c>
      <c r="G243" s="50" t="str">
        <f t="shared" si="95"/>
        <v/>
      </c>
      <c r="AF243" s="13"/>
      <c r="AG243" s="14"/>
      <c r="BS243" s="23" t="s">
        <v>20</v>
      </c>
    </row>
    <row r="244" spans="1:72" x14ac:dyDescent="0.25">
      <c r="A244" s="3">
        <v>35</v>
      </c>
      <c r="B244" s="101" t="s">
        <v>66</v>
      </c>
      <c r="C244" s="31" t="str">
        <f t="shared" si="98"/>
        <v/>
      </c>
      <c r="D244" s="32" t="str">
        <f t="shared" si="88"/>
        <v/>
      </c>
      <c r="E244" s="50" t="str">
        <f t="shared" si="95"/>
        <v/>
      </c>
      <c r="F244" s="50" t="str">
        <f t="shared" si="95"/>
        <v/>
      </c>
      <c r="G244" s="50" t="str">
        <f t="shared" si="95"/>
        <v/>
      </c>
      <c r="AF244" s="13"/>
      <c r="AG244" s="14"/>
      <c r="BS244" s="23" t="s">
        <v>21</v>
      </c>
    </row>
    <row r="245" spans="1:72" ht="6" customHeight="1" x14ac:dyDescent="0.25">
      <c r="A245" s="3">
        <v>36</v>
      </c>
      <c r="B245" s="109"/>
      <c r="C245" s="106"/>
      <c r="D245" s="106"/>
      <c r="E245" s="106"/>
      <c r="F245" s="106"/>
      <c r="G245" s="106"/>
      <c r="AF245" s="13"/>
      <c r="AG245" s="14"/>
      <c r="BS245" s="23" t="s">
        <v>22</v>
      </c>
    </row>
    <row r="246" spans="1:72" x14ac:dyDescent="0.25">
      <c r="A246" s="3">
        <v>37</v>
      </c>
      <c r="B246" s="101" t="s">
        <v>67</v>
      </c>
      <c r="C246" s="31" t="str">
        <f t="shared" si="98"/>
        <v/>
      </c>
      <c r="D246" s="32" t="str">
        <f t="shared" si="88"/>
        <v/>
      </c>
      <c r="E246" s="50" t="str">
        <f t="shared" si="95"/>
        <v/>
      </c>
      <c r="F246" s="50" t="str">
        <f t="shared" si="95"/>
        <v/>
      </c>
      <c r="G246" s="50" t="str">
        <f t="shared" si="95"/>
        <v/>
      </c>
      <c r="J246" s="145" t="str">
        <f>+CONCATENATE("INCIDENZA DELLE DONNE SUL TOTALE DIPLOMATI - ",K246," (",$D$242,")")</f>
        <v>INCIDENZA DELLE DONNE SUL TOTALE DIPLOMATI - 0 ()</v>
      </c>
      <c r="K246" s="147">
        <f>+$E$210</f>
        <v>0</v>
      </c>
      <c r="P246" s="145" t="str">
        <f>+CONCATENATE("INCIDENZA DELLE DONNE SUL TOTALE DIPLOMATI - ",Q246," (",$D$242,")")</f>
        <v>INCIDENZA DELLE DONNE SUL TOTALE DIPLOMATI -  ()</v>
      </c>
      <c r="Q246" s="147" t="str">
        <f>+$F$210</f>
        <v/>
      </c>
      <c r="V246" s="145" t="str">
        <f>+CONCATENATE("INCIDENZA DELLE DONNE SUL TOTALE DIPLOMATI - ",W246," (",$D$242,")")</f>
        <v>INCIDENZA DELLE DONNE SUL TOTALE DIPLOMATI -  ()</v>
      </c>
      <c r="W246" s="147" t="str">
        <f>+$G$210</f>
        <v/>
      </c>
      <c r="AF246" s="13"/>
      <c r="AG246" s="14"/>
      <c r="BS246" s="23" t="s">
        <v>23</v>
      </c>
    </row>
    <row r="247" spans="1:72" x14ac:dyDescent="0.25">
      <c r="A247" s="3">
        <v>38</v>
      </c>
      <c r="B247" s="101" t="s">
        <v>127</v>
      </c>
      <c r="C247" s="31" t="str">
        <f t="shared" si="98"/>
        <v/>
      </c>
      <c r="D247" s="32" t="str">
        <f t="shared" si="88"/>
        <v/>
      </c>
      <c r="E247" s="50" t="str">
        <f t="shared" si="95"/>
        <v/>
      </c>
      <c r="F247" s="50" t="str">
        <f t="shared" si="95"/>
        <v/>
      </c>
      <c r="G247" s="50" t="str">
        <f t="shared" si="95"/>
        <v/>
      </c>
      <c r="J247" s="145" t="s">
        <v>136</v>
      </c>
      <c r="K247" s="146" t="e">
        <f>+E242/100</f>
        <v>#VALUE!</v>
      </c>
      <c r="P247" s="145" t="s">
        <v>136</v>
      </c>
      <c r="Q247" s="146" t="e">
        <f>+F242/100</f>
        <v>#VALUE!</v>
      </c>
      <c r="V247" s="145" t="s">
        <v>136</v>
      </c>
      <c r="W247" s="146" t="e">
        <f>+G242/100</f>
        <v>#VALUE!</v>
      </c>
      <c r="AF247" s="13"/>
      <c r="AG247" s="14"/>
      <c r="BS247" s="23" t="s">
        <v>24</v>
      </c>
    </row>
    <row r="248" spans="1:72" x14ac:dyDescent="0.25">
      <c r="A248" s="3">
        <v>39</v>
      </c>
      <c r="B248" s="101" t="s">
        <v>128</v>
      </c>
      <c r="C248" s="31" t="str">
        <f t="shared" si="98"/>
        <v/>
      </c>
      <c r="D248" s="32" t="str">
        <f t="shared" si="88"/>
        <v/>
      </c>
      <c r="E248" s="50" t="str">
        <f t="shared" si="95"/>
        <v/>
      </c>
      <c r="F248" s="50" t="str">
        <f t="shared" si="95"/>
        <v/>
      </c>
      <c r="G248" s="50" t="str">
        <f t="shared" si="95"/>
        <v/>
      </c>
      <c r="J248" s="145" t="s">
        <v>137</v>
      </c>
      <c r="K248" s="146" t="e">
        <f t="shared" ref="K248:K249" si="99">+E243/100</f>
        <v>#VALUE!</v>
      </c>
      <c r="P248" s="145" t="s">
        <v>137</v>
      </c>
      <c r="Q248" s="146" t="e">
        <f>+F243/100</f>
        <v>#VALUE!</v>
      </c>
      <c r="V248" s="145" t="s">
        <v>137</v>
      </c>
      <c r="W248" s="146" t="e">
        <f>+G243/100</f>
        <v>#VALUE!</v>
      </c>
      <c r="AF248" s="13"/>
      <c r="AG248" s="14"/>
      <c r="BS248" s="24" t="s">
        <v>25</v>
      </c>
    </row>
    <row r="249" spans="1:72" x14ac:dyDescent="0.25">
      <c r="A249" s="3">
        <v>40</v>
      </c>
      <c r="B249" s="101" t="s">
        <v>70</v>
      </c>
      <c r="C249" s="31" t="str">
        <f t="shared" si="98"/>
        <v/>
      </c>
      <c r="D249" s="32" t="str">
        <f t="shared" si="88"/>
        <v/>
      </c>
      <c r="E249" s="50" t="str">
        <f t="shared" si="95"/>
        <v/>
      </c>
      <c r="F249" s="50" t="str">
        <f t="shared" si="95"/>
        <v/>
      </c>
      <c r="G249" s="50" t="str">
        <f t="shared" si="95"/>
        <v/>
      </c>
      <c r="I249" s="33"/>
      <c r="J249" s="145" t="s">
        <v>138</v>
      </c>
      <c r="K249" s="146" t="e">
        <f t="shared" si="99"/>
        <v>#VALUE!</v>
      </c>
      <c r="N249" s="15"/>
      <c r="O249" s="15"/>
      <c r="P249" s="145" t="s">
        <v>138</v>
      </c>
      <c r="Q249" s="146" t="e">
        <f>+F244/100</f>
        <v>#VALUE!</v>
      </c>
      <c r="R249" s="15"/>
      <c r="S249" s="15"/>
      <c r="T249" s="15"/>
      <c r="U249" s="15"/>
      <c r="V249" s="145" t="s">
        <v>138</v>
      </c>
      <c r="W249" s="146" t="e">
        <f>+G244/100</f>
        <v>#VALUE!</v>
      </c>
      <c r="X249" s="15"/>
      <c r="Y249" s="15"/>
      <c r="Z249" s="15"/>
      <c r="AA249" s="15"/>
      <c r="AB249" s="15"/>
      <c r="AC249" s="15"/>
      <c r="AD249" s="15"/>
      <c r="AE249" s="15"/>
      <c r="AF249" s="34"/>
      <c r="AG249" s="35"/>
      <c r="AH249" s="15"/>
      <c r="AI249" s="15"/>
      <c r="AJ249" s="15"/>
    </row>
    <row r="250" spans="1:72" x14ac:dyDescent="0.25">
      <c r="A250" s="3">
        <v>41</v>
      </c>
      <c r="B250" s="101" t="s">
        <v>71</v>
      </c>
      <c r="C250" s="31" t="str">
        <f t="shared" si="98"/>
        <v/>
      </c>
      <c r="D250" s="32" t="str">
        <f t="shared" si="88"/>
        <v/>
      </c>
      <c r="E250" s="50" t="str">
        <f t="shared" si="95"/>
        <v/>
      </c>
      <c r="F250" s="50" t="str">
        <f t="shared" si="95"/>
        <v/>
      </c>
      <c r="G250" s="50" t="str">
        <f t="shared" si="95"/>
        <v/>
      </c>
      <c r="I250" s="36"/>
      <c r="J250" s="36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34"/>
      <c r="AG250" s="35"/>
      <c r="AH250" s="15"/>
      <c r="AI250" s="15"/>
      <c r="AJ250" s="15"/>
    </row>
    <row r="251" spans="1:72" x14ac:dyDescent="0.25">
      <c r="A251" s="3">
        <v>42</v>
      </c>
      <c r="B251" s="101" t="s">
        <v>72</v>
      </c>
      <c r="C251" s="31" t="str">
        <f t="shared" si="98"/>
        <v/>
      </c>
      <c r="D251" s="32" t="str">
        <f t="shared" si="88"/>
        <v/>
      </c>
      <c r="E251" s="50" t="str">
        <f t="shared" ref="E251:G314" si="100">IF(E$210="","",HLOOKUP(E$210,$B$3:$AG$204,$A251,0))</f>
        <v/>
      </c>
      <c r="F251" s="50" t="str">
        <f t="shared" si="100"/>
        <v/>
      </c>
      <c r="G251" s="50" t="str">
        <f t="shared" si="100"/>
        <v/>
      </c>
      <c r="I251" s="37"/>
      <c r="J251" s="37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34"/>
      <c r="AG251" s="35"/>
      <c r="AH251" s="15"/>
      <c r="AI251" s="15"/>
      <c r="AJ251" s="15"/>
    </row>
    <row r="252" spans="1:72" x14ac:dyDescent="0.25">
      <c r="A252" s="3">
        <v>43</v>
      </c>
      <c r="B252" s="101" t="s">
        <v>73</v>
      </c>
      <c r="C252" s="31" t="str">
        <f t="shared" si="98"/>
        <v/>
      </c>
      <c r="D252" s="32" t="str">
        <f t="shared" si="88"/>
        <v/>
      </c>
      <c r="E252" s="50" t="str">
        <f t="shared" si="100"/>
        <v/>
      </c>
      <c r="F252" s="50" t="str">
        <f t="shared" si="100"/>
        <v/>
      </c>
      <c r="G252" s="50" t="str">
        <f t="shared" si="100"/>
        <v/>
      </c>
      <c r="I252" s="37"/>
      <c r="J252" s="37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34"/>
      <c r="AG252" s="35"/>
      <c r="AH252" s="15"/>
      <c r="AI252" s="15"/>
      <c r="AJ252" s="15"/>
    </row>
    <row r="253" spans="1:72" x14ac:dyDescent="0.25">
      <c r="A253" s="3">
        <v>44</v>
      </c>
      <c r="B253" s="101" t="s">
        <v>74</v>
      </c>
      <c r="C253" s="31" t="str">
        <f t="shared" si="98"/>
        <v/>
      </c>
      <c r="D253" s="32" t="str">
        <f t="shared" si="88"/>
        <v/>
      </c>
      <c r="E253" s="50" t="str">
        <f t="shared" si="100"/>
        <v/>
      </c>
      <c r="F253" s="50" t="str">
        <f t="shared" si="100"/>
        <v/>
      </c>
      <c r="G253" s="50" t="str">
        <f t="shared" si="100"/>
        <v/>
      </c>
      <c r="I253" s="37"/>
      <c r="J253" s="37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34"/>
      <c r="AG253" s="35"/>
      <c r="AH253" s="15"/>
      <c r="AI253" s="15"/>
      <c r="AJ253" s="15"/>
    </row>
    <row r="254" spans="1:72" x14ac:dyDescent="0.25">
      <c r="A254" s="3">
        <v>45</v>
      </c>
      <c r="B254" s="101" t="s">
        <v>75</v>
      </c>
      <c r="C254" s="31" t="str">
        <f t="shared" si="98"/>
        <v/>
      </c>
      <c r="D254" s="32" t="str">
        <f t="shared" si="88"/>
        <v/>
      </c>
      <c r="E254" s="50" t="str">
        <f t="shared" si="100"/>
        <v/>
      </c>
      <c r="F254" s="50" t="str">
        <f t="shared" si="100"/>
        <v/>
      </c>
      <c r="G254" s="50" t="str">
        <f t="shared" si="100"/>
        <v/>
      </c>
      <c r="I254" s="36"/>
      <c r="J254" s="36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34"/>
      <c r="AG254" s="35"/>
      <c r="AH254" s="15"/>
      <c r="AI254" s="15"/>
      <c r="AJ254" s="15"/>
    </row>
    <row r="255" spans="1:72" x14ac:dyDescent="0.25">
      <c r="A255" s="3">
        <v>46</v>
      </c>
      <c r="B255" s="101" t="s">
        <v>76</v>
      </c>
      <c r="C255" s="31" t="str">
        <f t="shared" si="98"/>
        <v/>
      </c>
      <c r="D255" s="32" t="str">
        <f t="shared" si="88"/>
        <v/>
      </c>
      <c r="E255" s="50" t="str">
        <f t="shared" si="100"/>
        <v/>
      </c>
      <c r="F255" s="50" t="str">
        <f t="shared" si="100"/>
        <v/>
      </c>
      <c r="G255" s="50" t="str">
        <f t="shared" si="100"/>
        <v/>
      </c>
      <c r="I255" s="36"/>
      <c r="J255" s="36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34"/>
      <c r="AG255" s="35"/>
      <c r="AH255" s="15"/>
      <c r="AI255" s="15"/>
      <c r="AJ255" s="15"/>
    </row>
    <row r="256" spans="1:72" x14ac:dyDescent="0.25">
      <c r="A256" s="3">
        <v>47</v>
      </c>
      <c r="B256" s="101" t="s">
        <v>77</v>
      </c>
      <c r="C256" s="31" t="str">
        <f t="shared" si="98"/>
        <v/>
      </c>
      <c r="D256" s="32" t="str">
        <f t="shared" si="88"/>
        <v/>
      </c>
      <c r="E256" s="50" t="str">
        <f t="shared" si="100"/>
        <v/>
      </c>
      <c r="F256" s="50" t="str">
        <f t="shared" si="100"/>
        <v/>
      </c>
      <c r="G256" s="50" t="str">
        <f t="shared" si="100"/>
        <v/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34"/>
      <c r="AG256" s="35"/>
      <c r="AH256" s="15"/>
      <c r="AI256" s="15"/>
      <c r="AJ256" s="15"/>
    </row>
    <row r="257" spans="1:36" x14ac:dyDescent="0.25">
      <c r="A257" s="3">
        <v>48</v>
      </c>
      <c r="B257" s="101" t="s">
        <v>78</v>
      </c>
      <c r="C257" s="31" t="str">
        <f t="shared" si="98"/>
        <v/>
      </c>
      <c r="D257" s="32" t="str">
        <f t="shared" si="88"/>
        <v/>
      </c>
      <c r="E257" s="50" t="str">
        <f t="shared" si="100"/>
        <v/>
      </c>
      <c r="F257" s="50" t="str">
        <f t="shared" si="100"/>
        <v/>
      </c>
      <c r="G257" s="50" t="str">
        <f t="shared" si="100"/>
        <v/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34"/>
      <c r="AG257" s="35"/>
      <c r="AH257" s="15"/>
      <c r="AI257" s="15"/>
      <c r="AJ257" s="15"/>
    </row>
    <row r="258" spans="1:36" x14ac:dyDescent="0.25">
      <c r="A258" s="3">
        <v>49</v>
      </c>
      <c r="B258" s="101" t="s">
        <v>79</v>
      </c>
      <c r="C258" s="31" t="str">
        <f t="shared" si="98"/>
        <v/>
      </c>
      <c r="D258" s="32" t="str">
        <f t="shared" si="88"/>
        <v/>
      </c>
      <c r="E258" s="50" t="str">
        <f t="shared" si="100"/>
        <v/>
      </c>
      <c r="F258" s="50" t="str">
        <f t="shared" si="100"/>
        <v/>
      </c>
      <c r="G258" s="50" t="str">
        <f t="shared" si="100"/>
        <v/>
      </c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15"/>
      <c r="Z258" s="15"/>
      <c r="AA258" s="15"/>
      <c r="AB258" s="15"/>
      <c r="AC258" s="15"/>
      <c r="AD258" s="15"/>
      <c r="AE258" s="15"/>
      <c r="AF258" s="34"/>
      <c r="AG258" s="35"/>
      <c r="AH258" s="15"/>
      <c r="AI258" s="15"/>
      <c r="AJ258" s="15"/>
    </row>
    <row r="259" spans="1:36" x14ac:dyDescent="0.25">
      <c r="A259" s="3">
        <v>50</v>
      </c>
      <c r="B259" s="101" t="s">
        <v>80</v>
      </c>
      <c r="C259" s="31" t="str">
        <f t="shared" si="98"/>
        <v/>
      </c>
      <c r="D259" s="32" t="str">
        <f t="shared" si="88"/>
        <v/>
      </c>
      <c r="E259" s="50" t="str">
        <f t="shared" si="100"/>
        <v/>
      </c>
      <c r="F259" s="50" t="str">
        <f t="shared" si="100"/>
        <v/>
      </c>
      <c r="G259" s="50" t="str">
        <f t="shared" si="100"/>
        <v/>
      </c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15"/>
      <c r="Z259" s="15"/>
      <c r="AA259" s="15"/>
      <c r="AB259" s="15"/>
      <c r="AC259" s="15"/>
      <c r="AD259" s="15"/>
      <c r="AE259" s="15"/>
      <c r="AF259" s="34"/>
      <c r="AG259" s="35"/>
      <c r="AH259" s="15"/>
      <c r="AI259" s="15"/>
      <c r="AJ259" s="15"/>
    </row>
    <row r="260" spans="1:36" x14ac:dyDescent="0.25">
      <c r="A260" s="3">
        <v>51</v>
      </c>
      <c r="B260" s="101" t="s">
        <v>81</v>
      </c>
      <c r="C260" s="31" t="str">
        <f t="shared" si="98"/>
        <v/>
      </c>
      <c r="D260" s="32" t="str">
        <f t="shared" si="88"/>
        <v/>
      </c>
      <c r="E260" s="50" t="str">
        <f t="shared" si="100"/>
        <v/>
      </c>
      <c r="F260" s="50" t="str">
        <f t="shared" si="100"/>
        <v/>
      </c>
      <c r="G260" s="50" t="str">
        <f t="shared" si="100"/>
        <v/>
      </c>
      <c r="I260" s="38"/>
      <c r="J260" s="39"/>
      <c r="K260" s="39"/>
      <c r="L260" s="38"/>
      <c r="M260" s="38"/>
      <c r="N260" s="38"/>
      <c r="O260" s="38"/>
      <c r="P260" s="39"/>
      <c r="Q260" s="39"/>
      <c r="R260" s="38"/>
      <c r="S260" s="38"/>
      <c r="T260" s="38"/>
      <c r="U260" s="38"/>
      <c r="V260" s="39"/>
      <c r="W260" s="39"/>
      <c r="X260" s="38"/>
      <c r="Y260" s="15"/>
      <c r="Z260" s="15"/>
      <c r="AA260" s="15"/>
      <c r="AB260" s="15"/>
      <c r="AC260" s="15"/>
      <c r="AD260" s="15"/>
      <c r="AE260" s="15"/>
      <c r="AF260" s="34"/>
      <c r="AG260" s="35"/>
      <c r="AH260" s="15"/>
      <c r="AI260" s="15"/>
      <c r="AJ260" s="15"/>
    </row>
    <row r="261" spans="1:36" x14ac:dyDescent="0.25">
      <c r="A261" s="3">
        <v>52</v>
      </c>
      <c r="B261" s="101" t="s">
        <v>82</v>
      </c>
      <c r="C261" s="31" t="str">
        <f t="shared" si="98"/>
        <v/>
      </c>
      <c r="D261" s="32" t="str">
        <f t="shared" si="88"/>
        <v/>
      </c>
      <c r="E261" s="50" t="str">
        <f t="shared" si="100"/>
        <v/>
      </c>
      <c r="F261" s="50" t="str">
        <f t="shared" si="100"/>
        <v/>
      </c>
      <c r="G261" s="50" t="str">
        <f t="shared" si="100"/>
        <v/>
      </c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15"/>
      <c r="Z261" s="15"/>
      <c r="AA261" s="15"/>
      <c r="AB261" s="15"/>
      <c r="AC261" s="15"/>
      <c r="AD261" s="15"/>
      <c r="AE261" s="15"/>
      <c r="AF261" s="34"/>
      <c r="AG261" s="35"/>
      <c r="AH261" s="15"/>
      <c r="AI261" s="15"/>
      <c r="AJ261" s="15"/>
    </row>
    <row r="262" spans="1:36" hidden="1" x14ac:dyDescent="0.25">
      <c r="A262" s="3">
        <v>53</v>
      </c>
      <c r="B262" s="63"/>
      <c r="C262" s="31" t="str">
        <f t="shared" si="98"/>
        <v/>
      </c>
      <c r="D262" s="32" t="str">
        <f t="shared" si="88"/>
        <v/>
      </c>
      <c r="E262" s="50" t="str">
        <f t="shared" si="100"/>
        <v/>
      </c>
      <c r="F262" s="50" t="str">
        <f t="shared" si="100"/>
        <v/>
      </c>
      <c r="G262" s="50" t="str">
        <f t="shared" si="100"/>
        <v/>
      </c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15"/>
      <c r="Z262" s="15"/>
      <c r="AA262" s="15"/>
      <c r="AB262" s="15"/>
      <c r="AC262" s="15"/>
      <c r="AD262" s="15"/>
      <c r="AE262" s="15"/>
      <c r="AF262" s="34"/>
      <c r="AG262" s="35"/>
      <c r="AH262" s="15"/>
      <c r="AI262" s="15"/>
      <c r="AJ262" s="15"/>
    </row>
    <row r="263" spans="1:36" hidden="1" x14ac:dyDescent="0.25">
      <c r="A263" s="3">
        <v>54</v>
      </c>
      <c r="B263" s="63"/>
      <c r="C263" s="31" t="str">
        <f t="shared" si="98"/>
        <v/>
      </c>
      <c r="D263" s="32" t="str">
        <f t="shared" si="88"/>
        <v/>
      </c>
      <c r="E263" s="50" t="str">
        <f t="shared" si="100"/>
        <v/>
      </c>
      <c r="F263" s="50" t="str">
        <f t="shared" si="100"/>
        <v/>
      </c>
      <c r="G263" s="50" t="str">
        <f t="shared" si="100"/>
        <v/>
      </c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34"/>
      <c r="AG263" s="35"/>
      <c r="AH263" s="15"/>
      <c r="AI263" s="15"/>
      <c r="AJ263" s="15"/>
    </row>
    <row r="264" spans="1:36" hidden="1" x14ac:dyDescent="0.25">
      <c r="A264" s="3">
        <v>55</v>
      </c>
      <c r="B264" s="63"/>
      <c r="C264" s="31" t="str">
        <f t="shared" si="98"/>
        <v/>
      </c>
      <c r="D264" s="32" t="str">
        <f t="shared" si="88"/>
        <v/>
      </c>
      <c r="E264" s="50" t="str">
        <f t="shared" si="100"/>
        <v/>
      </c>
      <c r="F264" s="50" t="str">
        <f t="shared" si="100"/>
        <v/>
      </c>
      <c r="G264" s="50" t="str">
        <f t="shared" si="100"/>
        <v/>
      </c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34"/>
      <c r="AG264" s="35"/>
      <c r="AH264" s="15"/>
      <c r="AI264" s="15"/>
      <c r="AJ264" s="15"/>
    </row>
    <row r="265" spans="1:36" hidden="1" x14ac:dyDescent="0.25">
      <c r="A265" s="3">
        <v>56</v>
      </c>
      <c r="B265" s="63"/>
      <c r="C265" s="31" t="str">
        <f t="shared" si="98"/>
        <v/>
      </c>
      <c r="D265" s="32" t="str">
        <f t="shared" si="88"/>
        <v/>
      </c>
      <c r="E265" s="50" t="str">
        <f t="shared" si="100"/>
        <v/>
      </c>
      <c r="F265" s="50" t="str">
        <f t="shared" si="100"/>
        <v/>
      </c>
      <c r="G265" s="50" t="str">
        <f t="shared" si="100"/>
        <v/>
      </c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34"/>
      <c r="AG265" s="35"/>
      <c r="AH265" s="15"/>
      <c r="AI265" s="15"/>
      <c r="AJ265" s="15"/>
    </row>
    <row r="266" spans="1:36" hidden="1" x14ac:dyDescent="0.25">
      <c r="A266" s="3">
        <v>57</v>
      </c>
      <c r="B266" s="63"/>
      <c r="C266" s="31" t="str">
        <f t="shared" si="98"/>
        <v/>
      </c>
      <c r="D266" s="32" t="str">
        <f t="shared" si="88"/>
        <v/>
      </c>
      <c r="E266" s="50" t="str">
        <f t="shared" si="100"/>
        <v/>
      </c>
      <c r="F266" s="50" t="str">
        <f t="shared" si="100"/>
        <v/>
      </c>
      <c r="G266" s="50" t="str">
        <f t="shared" si="100"/>
        <v/>
      </c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34"/>
      <c r="AG266" s="35"/>
      <c r="AH266" s="15"/>
      <c r="AI266" s="15"/>
      <c r="AJ266" s="15"/>
    </row>
    <row r="267" spans="1:36" hidden="1" x14ac:dyDescent="0.25">
      <c r="A267" s="3">
        <v>58</v>
      </c>
      <c r="B267" s="63"/>
      <c r="C267" s="31" t="str">
        <f t="shared" si="98"/>
        <v/>
      </c>
      <c r="D267" s="32" t="str">
        <f t="shared" si="88"/>
        <v/>
      </c>
      <c r="E267" s="50" t="str">
        <f t="shared" si="100"/>
        <v/>
      </c>
      <c r="F267" s="50" t="str">
        <f t="shared" si="100"/>
        <v/>
      </c>
      <c r="G267" s="50" t="str">
        <f t="shared" si="100"/>
        <v/>
      </c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34"/>
      <c r="AG267" s="35"/>
      <c r="AH267" s="15"/>
      <c r="AI267" s="15"/>
      <c r="AJ267" s="15"/>
    </row>
    <row r="268" spans="1:36" hidden="1" x14ac:dyDescent="0.25">
      <c r="A268" s="3">
        <v>59</v>
      </c>
      <c r="B268" s="63"/>
      <c r="C268" s="31" t="str">
        <f t="shared" si="98"/>
        <v/>
      </c>
      <c r="D268" s="32" t="str">
        <f t="shared" si="88"/>
        <v/>
      </c>
      <c r="E268" s="50" t="str">
        <f t="shared" si="100"/>
        <v/>
      </c>
      <c r="F268" s="50" t="str">
        <f t="shared" si="100"/>
        <v/>
      </c>
      <c r="G268" s="50" t="str">
        <f t="shared" si="100"/>
        <v/>
      </c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34"/>
      <c r="AG268" s="35"/>
      <c r="AH268" s="15"/>
      <c r="AI268" s="15"/>
      <c r="AJ268" s="15"/>
    </row>
    <row r="269" spans="1:36" hidden="1" x14ac:dyDescent="0.25">
      <c r="A269" s="3">
        <v>60</v>
      </c>
      <c r="B269" s="63"/>
      <c r="C269" s="31" t="str">
        <f t="shared" si="98"/>
        <v/>
      </c>
      <c r="D269" s="32" t="str">
        <f t="shared" si="88"/>
        <v/>
      </c>
      <c r="E269" s="50" t="str">
        <f t="shared" si="100"/>
        <v/>
      </c>
      <c r="F269" s="50" t="str">
        <f t="shared" si="100"/>
        <v/>
      </c>
      <c r="G269" s="50" t="str">
        <f t="shared" si="100"/>
        <v/>
      </c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34"/>
      <c r="AG269" s="35"/>
      <c r="AH269" s="15"/>
      <c r="AI269" s="15"/>
      <c r="AJ269" s="15"/>
    </row>
    <row r="270" spans="1:36" hidden="1" x14ac:dyDescent="0.25">
      <c r="A270" s="3">
        <v>61</v>
      </c>
      <c r="B270" s="63"/>
      <c r="C270" s="31" t="str">
        <f t="shared" si="98"/>
        <v/>
      </c>
      <c r="D270" s="32" t="str">
        <f t="shared" si="88"/>
        <v/>
      </c>
      <c r="E270" s="50" t="str">
        <f t="shared" si="100"/>
        <v/>
      </c>
      <c r="F270" s="50" t="str">
        <f t="shared" si="100"/>
        <v/>
      </c>
      <c r="G270" s="50" t="str">
        <f t="shared" si="100"/>
        <v/>
      </c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34"/>
      <c r="AG270" s="35"/>
      <c r="AH270" s="15"/>
      <c r="AI270" s="15"/>
      <c r="AJ270" s="15"/>
    </row>
    <row r="271" spans="1:36" hidden="1" x14ac:dyDescent="0.25">
      <c r="A271" s="3">
        <v>62</v>
      </c>
      <c r="B271" s="63"/>
      <c r="C271" s="31" t="str">
        <f t="shared" si="98"/>
        <v/>
      </c>
      <c r="D271" s="32" t="str">
        <f t="shared" si="88"/>
        <v/>
      </c>
      <c r="E271" s="50" t="str">
        <f t="shared" si="100"/>
        <v/>
      </c>
      <c r="F271" s="50" t="str">
        <f t="shared" si="100"/>
        <v/>
      </c>
      <c r="G271" s="50" t="str">
        <f t="shared" si="100"/>
        <v/>
      </c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34"/>
      <c r="AG271" s="35"/>
      <c r="AH271" s="15"/>
      <c r="AI271" s="15"/>
      <c r="AJ271" s="15"/>
    </row>
    <row r="272" spans="1:36" hidden="1" x14ac:dyDescent="0.25">
      <c r="A272" s="3">
        <v>63</v>
      </c>
      <c r="B272" s="63"/>
      <c r="C272" s="31" t="str">
        <f t="shared" si="98"/>
        <v/>
      </c>
      <c r="D272" s="32" t="str">
        <f t="shared" si="88"/>
        <v/>
      </c>
      <c r="E272" s="50" t="str">
        <f t="shared" si="100"/>
        <v/>
      </c>
      <c r="F272" s="50" t="str">
        <f t="shared" si="100"/>
        <v/>
      </c>
      <c r="G272" s="50" t="str">
        <f t="shared" si="100"/>
        <v/>
      </c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34"/>
      <c r="AG272" s="35"/>
      <c r="AH272" s="15"/>
      <c r="AI272" s="15"/>
      <c r="AJ272" s="15"/>
    </row>
    <row r="273" spans="1:36" hidden="1" x14ac:dyDescent="0.25">
      <c r="A273" s="3">
        <v>64</v>
      </c>
      <c r="B273" s="63"/>
      <c r="C273" s="31" t="str">
        <f t="shared" si="98"/>
        <v/>
      </c>
      <c r="D273" s="32" t="str">
        <f t="shared" si="88"/>
        <v/>
      </c>
      <c r="E273" s="50" t="str">
        <f t="shared" si="100"/>
        <v/>
      </c>
      <c r="F273" s="50" t="str">
        <f t="shared" si="100"/>
        <v/>
      </c>
      <c r="G273" s="50" t="str">
        <f t="shared" si="100"/>
        <v/>
      </c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34"/>
      <c r="AG273" s="35"/>
      <c r="AH273" s="15"/>
      <c r="AI273" s="15"/>
      <c r="AJ273" s="15"/>
    </row>
    <row r="274" spans="1:36" hidden="1" x14ac:dyDescent="0.25">
      <c r="A274" s="3">
        <v>65</v>
      </c>
      <c r="B274" s="63"/>
      <c r="C274" s="31" t="str">
        <f t="shared" si="98"/>
        <v/>
      </c>
      <c r="D274" s="32" t="str">
        <f t="shared" si="88"/>
        <v/>
      </c>
      <c r="E274" s="50" t="str">
        <f t="shared" si="100"/>
        <v/>
      </c>
      <c r="F274" s="50" t="str">
        <f t="shared" si="100"/>
        <v/>
      </c>
      <c r="G274" s="50" t="str">
        <f t="shared" si="100"/>
        <v/>
      </c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34"/>
      <c r="AG274" s="35"/>
      <c r="AH274" s="15"/>
      <c r="AI274" s="15"/>
      <c r="AJ274" s="15"/>
    </row>
    <row r="275" spans="1:36" hidden="1" x14ac:dyDescent="0.25">
      <c r="A275" s="3">
        <v>66</v>
      </c>
      <c r="B275" s="63"/>
      <c r="C275" s="31" t="str">
        <f t="shared" si="98"/>
        <v/>
      </c>
      <c r="D275" s="32" t="str">
        <f t="shared" si="88"/>
        <v/>
      </c>
      <c r="E275" s="50" t="str">
        <f t="shared" si="100"/>
        <v/>
      </c>
      <c r="F275" s="50" t="str">
        <f t="shared" si="100"/>
        <v/>
      </c>
      <c r="G275" s="50" t="str">
        <f t="shared" si="100"/>
        <v/>
      </c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34"/>
      <c r="AG275" s="35"/>
      <c r="AH275" s="15"/>
      <c r="AI275" s="15"/>
      <c r="AJ275" s="15"/>
    </row>
    <row r="276" spans="1:36" hidden="1" x14ac:dyDescent="0.25">
      <c r="A276" s="3">
        <v>67</v>
      </c>
      <c r="B276" s="63"/>
      <c r="C276" s="31" t="str">
        <f t="shared" si="98"/>
        <v/>
      </c>
      <c r="D276" s="32" t="str">
        <f t="shared" si="88"/>
        <v/>
      </c>
      <c r="E276" s="50" t="str">
        <f t="shared" si="100"/>
        <v/>
      </c>
      <c r="F276" s="50" t="str">
        <f t="shared" si="100"/>
        <v/>
      </c>
      <c r="G276" s="50" t="str">
        <f t="shared" si="100"/>
        <v/>
      </c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34"/>
      <c r="AG276" s="35"/>
      <c r="AH276" s="15"/>
      <c r="AI276" s="15"/>
      <c r="AJ276" s="15"/>
    </row>
    <row r="277" spans="1:36" hidden="1" x14ac:dyDescent="0.25">
      <c r="A277" s="3">
        <v>68</v>
      </c>
      <c r="B277" s="63"/>
      <c r="C277" s="31" t="str">
        <f t="shared" si="98"/>
        <v/>
      </c>
      <c r="D277" s="32" t="str">
        <f t="shared" ref="D277:D340" si="101">IF(E$210="","",HLOOKUP(D$210,$B$3:$AG$204,$A277,0))</f>
        <v/>
      </c>
      <c r="E277" s="50" t="str">
        <f t="shared" si="100"/>
        <v/>
      </c>
      <c r="F277" s="50" t="str">
        <f t="shared" si="100"/>
        <v/>
      </c>
      <c r="G277" s="50" t="str">
        <f t="shared" si="100"/>
        <v/>
      </c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34"/>
      <c r="AG277" s="35"/>
      <c r="AH277" s="15"/>
      <c r="AI277" s="15"/>
      <c r="AJ277" s="15"/>
    </row>
    <row r="278" spans="1:36" hidden="1" x14ac:dyDescent="0.25">
      <c r="A278" s="3">
        <v>69</v>
      </c>
      <c r="B278" s="63"/>
      <c r="C278" s="31" t="str">
        <f t="shared" si="98"/>
        <v/>
      </c>
      <c r="D278" s="32" t="str">
        <f t="shared" si="101"/>
        <v/>
      </c>
      <c r="E278" s="50" t="str">
        <f t="shared" si="100"/>
        <v/>
      </c>
      <c r="F278" s="50" t="str">
        <f t="shared" si="100"/>
        <v/>
      </c>
      <c r="G278" s="50" t="str">
        <f t="shared" si="100"/>
        <v/>
      </c>
      <c r="I278" s="15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15"/>
      <c r="Y278" s="15"/>
      <c r="Z278" s="15"/>
      <c r="AA278" s="15"/>
      <c r="AB278" s="15"/>
      <c r="AC278" s="15"/>
      <c r="AD278" s="15"/>
      <c r="AE278" s="15"/>
      <c r="AF278" s="34"/>
      <c r="AG278" s="35"/>
      <c r="AH278" s="15"/>
      <c r="AI278" s="15"/>
      <c r="AJ278" s="15"/>
    </row>
    <row r="279" spans="1:36" hidden="1" x14ac:dyDescent="0.25">
      <c r="A279" s="3">
        <v>70</v>
      </c>
      <c r="B279" s="63"/>
      <c r="C279" s="31" t="str">
        <f t="shared" si="98"/>
        <v/>
      </c>
      <c r="D279" s="32" t="str">
        <f t="shared" si="101"/>
        <v/>
      </c>
      <c r="E279" s="50" t="str">
        <f t="shared" si="100"/>
        <v/>
      </c>
      <c r="F279" s="50" t="str">
        <f t="shared" si="100"/>
        <v/>
      </c>
      <c r="G279" s="50" t="str">
        <f t="shared" si="100"/>
        <v/>
      </c>
      <c r="I279" s="15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15"/>
      <c r="Y279" s="15"/>
      <c r="Z279" s="15"/>
      <c r="AA279" s="15"/>
      <c r="AB279" s="15"/>
      <c r="AC279" s="15"/>
      <c r="AD279" s="15"/>
      <c r="AE279" s="15"/>
      <c r="AF279" s="34"/>
      <c r="AG279" s="35"/>
      <c r="AH279" s="15"/>
      <c r="AI279" s="15"/>
      <c r="AJ279" s="15"/>
    </row>
    <row r="280" spans="1:36" hidden="1" x14ac:dyDescent="0.25">
      <c r="A280" s="3">
        <v>71</v>
      </c>
      <c r="B280" s="63"/>
      <c r="C280" s="31" t="str">
        <f t="shared" si="98"/>
        <v/>
      </c>
      <c r="D280" s="32" t="str">
        <f t="shared" si="101"/>
        <v/>
      </c>
      <c r="E280" s="50" t="str">
        <f t="shared" si="100"/>
        <v/>
      </c>
      <c r="F280" s="50" t="str">
        <f t="shared" si="100"/>
        <v/>
      </c>
      <c r="G280" s="50" t="str">
        <f t="shared" si="100"/>
        <v/>
      </c>
      <c r="I280" s="15"/>
      <c r="J280" s="39"/>
      <c r="K280" s="39"/>
      <c r="L280" s="38"/>
      <c r="M280" s="38"/>
      <c r="N280" s="38"/>
      <c r="O280" s="38"/>
      <c r="P280" s="39"/>
      <c r="Q280" s="39"/>
      <c r="R280" s="38"/>
      <c r="S280" s="38"/>
      <c r="T280" s="38"/>
      <c r="U280" s="38"/>
      <c r="V280" s="39"/>
      <c r="W280" s="39"/>
      <c r="X280" s="15"/>
      <c r="Y280" s="15"/>
      <c r="Z280" s="15"/>
      <c r="AA280" s="15"/>
      <c r="AB280" s="15"/>
      <c r="AC280" s="15"/>
      <c r="AD280" s="15"/>
      <c r="AE280" s="15"/>
      <c r="AF280" s="34"/>
      <c r="AG280" s="35"/>
      <c r="AH280" s="15"/>
      <c r="AI280" s="15"/>
      <c r="AJ280" s="15"/>
    </row>
    <row r="281" spans="1:36" hidden="1" x14ac:dyDescent="0.25">
      <c r="A281" s="3">
        <v>72</v>
      </c>
      <c r="B281" s="63"/>
      <c r="C281" s="31" t="str">
        <f t="shared" si="98"/>
        <v/>
      </c>
      <c r="D281" s="32" t="str">
        <f t="shared" si="101"/>
        <v/>
      </c>
      <c r="E281" s="50" t="str">
        <f t="shared" si="100"/>
        <v/>
      </c>
      <c r="F281" s="50" t="str">
        <f t="shared" si="100"/>
        <v/>
      </c>
      <c r="G281" s="50" t="str">
        <f t="shared" si="100"/>
        <v/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34"/>
      <c r="AG281" s="35"/>
      <c r="AH281" s="15"/>
      <c r="AI281" s="15"/>
      <c r="AJ281" s="15"/>
    </row>
    <row r="282" spans="1:36" hidden="1" x14ac:dyDescent="0.25">
      <c r="A282" s="3">
        <v>73</v>
      </c>
      <c r="B282" s="63"/>
      <c r="C282" s="31" t="str">
        <f t="shared" si="98"/>
        <v/>
      </c>
      <c r="D282" s="32" t="str">
        <f t="shared" si="101"/>
        <v/>
      </c>
      <c r="E282" s="50" t="str">
        <f t="shared" si="100"/>
        <v/>
      </c>
      <c r="F282" s="50" t="str">
        <f t="shared" si="100"/>
        <v/>
      </c>
      <c r="G282" s="50" t="str">
        <f t="shared" si="100"/>
        <v/>
      </c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34"/>
      <c r="AG282" s="35"/>
      <c r="AH282" s="15"/>
      <c r="AI282" s="15"/>
      <c r="AJ282" s="15"/>
    </row>
    <row r="283" spans="1:36" hidden="1" x14ac:dyDescent="0.25">
      <c r="A283" s="3">
        <v>74</v>
      </c>
      <c r="B283" s="63"/>
      <c r="C283" s="31" t="str">
        <f t="shared" si="98"/>
        <v/>
      </c>
      <c r="D283" s="32" t="str">
        <f t="shared" si="101"/>
        <v/>
      </c>
      <c r="E283" s="50" t="str">
        <f t="shared" si="100"/>
        <v/>
      </c>
      <c r="F283" s="50" t="str">
        <f t="shared" si="100"/>
        <v/>
      </c>
      <c r="G283" s="50" t="str">
        <f t="shared" si="100"/>
        <v/>
      </c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34"/>
      <c r="AG283" s="35"/>
      <c r="AH283" s="15"/>
      <c r="AI283" s="15"/>
      <c r="AJ283" s="15"/>
    </row>
    <row r="284" spans="1:36" hidden="1" x14ac:dyDescent="0.25">
      <c r="A284" s="3">
        <v>75</v>
      </c>
      <c r="B284" s="63"/>
      <c r="C284" s="31" t="str">
        <f t="shared" si="98"/>
        <v/>
      </c>
      <c r="D284" s="32" t="str">
        <f t="shared" si="101"/>
        <v/>
      </c>
      <c r="E284" s="50" t="str">
        <f t="shared" si="100"/>
        <v/>
      </c>
      <c r="F284" s="50" t="str">
        <f t="shared" si="100"/>
        <v/>
      </c>
      <c r="G284" s="50" t="str">
        <f t="shared" si="100"/>
        <v/>
      </c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34"/>
      <c r="AG284" s="35"/>
      <c r="AH284" s="15"/>
      <c r="AI284" s="15"/>
      <c r="AJ284" s="15"/>
    </row>
    <row r="285" spans="1:36" hidden="1" x14ac:dyDescent="0.25">
      <c r="A285" s="3">
        <v>76</v>
      </c>
      <c r="B285" s="63"/>
      <c r="C285" s="31" t="str">
        <f t="shared" si="98"/>
        <v/>
      </c>
      <c r="D285" s="32" t="str">
        <f t="shared" si="101"/>
        <v/>
      </c>
      <c r="E285" s="50" t="str">
        <f t="shared" si="100"/>
        <v/>
      </c>
      <c r="F285" s="50" t="str">
        <f t="shared" si="100"/>
        <v/>
      </c>
      <c r="G285" s="50" t="str">
        <f t="shared" si="100"/>
        <v/>
      </c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34"/>
      <c r="AG285" s="35"/>
      <c r="AH285" s="15"/>
      <c r="AI285" s="15"/>
      <c r="AJ285" s="15"/>
    </row>
    <row r="286" spans="1:36" hidden="1" x14ac:dyDescent="0.25">
      <c r="A286" s="3">
        <v>77</v>
      </c>
      <c r="B286" s="63"/>
      <c r="C286" s="31" t="str">
        <f t="shared" si="98"/>
        <v/>
      </c>
      <c r="D286" s="32" t="str">
        <f t="shared" si="101"/>
        <v/>
      </c>
      <c r="E286" s="50" t="str">
        <f t="shared" si="100"/>
        <v/>
      </c>
      <c r="F286" s="50" t="str">
        <f t="shared" si="100"/>
        <v/>
      </c>
      <c r="G286" s="50" t="str">
        <f t="shared" si="100"/>
        <v/>
      </c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34"/>
      <c r="AG286" s="35"/>
      <c r="AH286" s="15"/>
      <c r="AI286" s="15"/>
      <c r="AJ286" s="15"/>
    </row>
    <row r="287" spans="1:36" hidden="1" x14ac:dyDescent="0.25">
      <c r="A287" s="3">
        <v>78</v>
      </c>
      <c r="B287" s="63"/>
      <c r="C287" s="31" t="str">
        <f t="shared" si="98"/>
        <v/>
      </c>
      <c r="D287" s="32" t="str">
        <f t="shared" si="101"/>
        <v/>
      </c>
      <c r="E287" s="50" t="str">
        <f t="shared" si="100"/>
        <v/>
      </c>
      <c r="F287" s="50" t="str">
        <f t="shared" si="100"/>
        <v/>
      </c>
      <c r="G287" s="50" t="str">
        <f t="shared" si="100"/>
        <v/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34"/>
      <c r="AG287" s="35"/>
      <c r="AH287" s="15"/>
      <c r="AI287" s="15"/>
      <c r="AJ287" s="15"/>
    </row>
    <row r="288" spans="1:36" hidden="1" x14ac:dyDescent="0.25">
      <c r="A288" s="3">
        <v>79</v>
      </c>
      <c r="B288" s="63"/>
      <c r="C288" s="31" t="str">
        <f t="shared" si="98"/>
        <v/>
      </c>
      <c r="D288" s="32" t="str">
        <f t="shared" si="101"/>
        <v/>
      </c>
      <c r="E288" s="50" t="str">
        <f t="shared" si="100"/>
        <v/>
      </c>
      <c r="F288" s="50" t="str">
        <f t="shared" si="100"/>
        <v/>
      </c>
      <c r="G288" s="50" t="str">
        <f t="shared" si="100"/>
        <v/>
      </c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34"/>
      <c r="AG288" s="35"/>
      <c r="AH288" s="15"/>
      <c r="AI288" s="15"/>
      <c r="AJ288" s="15"/>
    </row>
    <row r="289" spans="1:36" hidden="1" x14ac:dyDescent="0.25">
      <c r="A289" s="3">
        <v>80</v>
      </c>
      <c r="B289" s="63"/>
      <c r="C289" s="31" t="str">
        <f t="shared" si="98"/>
        <v/>
      </c>
      <c r="D289" s="32" t="str">
        <f t="shared" si="101"/>
        <v/>
      </c>
      <c r="E289" s="50" t="str">
        <f t="shared" si="100"/>
        <v/>
      </c>
      <c r="F289" s="50" t="str">
        <f t="shared" si="100"/>
        <v/>
      </c>
      <c r="G289" s="50" t="str">
        <f t="shared" si="100"/>
        <v/>
      </c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34"/>
      <c r="AG289" s="35"/>
      <c r="AH289" s="15"/>
      <c r="AI289" s="15"/>
      <c r="AJ289" s="15"/>
    </row>
    <row r="290" spans="1:36" hidden="1" x14ac:dyDescent="0.25">
      <c r="A290" s="3">
        <v>81</v>
      </c>
      <c r="B290" s="63"/>
      <c r="C290" s="31" t="str">
        <f t="shared" si="98"/>
        <v/>
      </c>
      <c r="D290" s="32" t="str">
        <f t="shared" si="101"/>
        <v/>
      </c>
      <c r="E290" s="50" t="str">
        <f t="shared" si="100"/>
        <v/>
      </c>
      <c r="F290" s="50" t="str">
        <f t="shared" si="100"/>
        <v/>
      </c>
      <c r="G290" s="50" t="str">
        <f t="shared" si="100"/>
        <v/>
      </c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34"/>
      <c r="AG290" s="35"/>
      <c r="AH290" s="15"/>
      <c r="AI290" s="15"/>
      <c r="AJ290" s="15"/>
    </row>
    <row r="291" spans="1:36" hidden="1" x14ac:dyDescent="0.25">
      <c r="A291" s="3">
        <v>82</v>
      </c>
      <c r="B291" s="63"/>
      <c r="C291" s="31" t="str">
        <f t="shared" si="98"/>
        <v/>
      </c>
      <c r="D291" s="32" t="str">
        <f t="shared" si="101"/>
        <v/>
      </c>
      <c r="E291" s="50" t="str">
        <f t="shared" si="100"/>
        <v/>
      </c>
      <c r="F291" s="50" t="str">
        <f t="shared" si="100"/>
        <v/>
      </c>
      <c r="G291" s="50" t="str">
        <f t="shared" si="100"/>
        <v/>
      </c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34"/>
      <c r="AG291" s="35"/>
      <c r="AH291" s="15"/>
      <c r="AI291" s="15"/>
      <c r="AJ291" s="15"/>
    </row>
    <row r="292" spans="1:36" hidden="1" x14ac:dyDescent="0.25">
      <c r="A292" s="3">
        <v>83</v>
      </c>
      <c r="B292" s="63"/>
      <c r="C292" s="31" t="str">
        <f t="shared" si="98"/>
        <v/>
      </c>
      <c r="D292" s="32" t="str">
        <f t="shared" si="101"/>
        <v/>
      </c>
      <c r="E292" s="50" t="str">
        <f t="shared" si="100"/>
        <v/>
      </c>
      <c r="F292" s="50" t="str">
        <f t="shared" si="100"/>
        <v/>
      </c>
      <c r="G292" s="50" t="str">
        <f t="shared" si="100"/>
        <v/>
      </c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34"/>
      <c r="AG292" s="35"/>
      <c r="AH292" s="15"/>
      <c r="AI292" s="15"/>
      <c r="AJ292" s="15"/>
    </row>
    <row r="293" spans="1:36" hidden="1" x14ac:dyDescent="0.25">
      <c r="A293" s="3">
        <v>84</v>
      </c>
      <c r="B293" s="63"/>
      <c r="C293" s="31" t="str">
        <f t="shared" si="98"/>
        <v/>
      </c>
      <c r="D293" s="32" t="str">
        <f t="shared" si="101"/>
        <v/>
      </c>
      <c r="E293" s="50" t="str">
        <f t="shared" si="100"/>
        <v/>
      </c>
      <c r="F293" s="50" t="str">
        <f t="shared" si="100"/>
        <v/>
      </c>
      <c r="G293" s="50" t="str">
        <f t="shared" si="100"/>
        <v/>
      </c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34"/>
      <c r="AG293" s="35"/>
      <c r="AH293" s="15"/>
      <c r="AI293" s="15"/>
      <c r="AJ293" s="15"/>
    </row>
    <row r="294" spans="1:36" hidden="1" x14ac:dyDescent="0.25">
      <c r="A294" s="3">
        <v>85</v>
      </c>
      <c r="B294" s="63"/>
      <c r="C294" s="31" t="str">
        <f t="shared" si="98"/>
        <v/>
      </c>
      <c r="D294" s="32" t="str">
        <f t="shared" si="101"/>
        <v/>
      </c>
      <c r="E294" s="50" t="str">
        <f t="shared" si="100"/>
        <v/>
      </c>
      <c r="F294" s="50" t="str">
        <f t="shared" si="100"/>
        <v/>
      </c>
      <c r="G294" s="50" t="str">
        <f t="shared" si="100"/>
        <v/>
      </c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34"/>
      <c r="AG294" s="35"/>
      <c r="AH294" s="15"/>
      <c r="AI294" s="15"/>
      <c r="AJ294" s="15"/>
    </row>
    <row r="295" spans="1:36" hidden="1" x14ac:dyDescent="0.25">
      <c r="A295" s="3">
        <v>86</v>
      </c>
      <c r="B295" s="63"/>
      <c r="C295" s="31" t="str">
        <f t="shared" si="98"/>
        <v/>
      </c>
      <c r="D295" s="32" t="str">
        <f t="shared" si="101"/>
        <v/>
      </c>
      <c r="E295" s="50" t="str">
        <f t="shared" si="100"/>
        <v/>
      </c>
      <c r="F295" s="50" t="str">
        <f t="shared" si="100"/>
        <v/>
      </c>
      <c r="G295" s="50" t="str">
        <f t="shared" si="100"/>
        <v/>
      </c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34"/>
      <c r="AG295" s="35"/>
      <c r="AH295" s="15"/>
      <c r="AI295" s="15"/>
      <c r="AJ295" s="15"/>
    </row>
    <row r="296" spans="1:36" hidden="1" x14ac:dyDescent="0.25">
      <c r="A296" s="3">
        <v>87</v>
      </c>
      <c r="B296" s="63"/>
      <c r="C296" s="31" t="str">
        <f t="shared" si="98"/>
        <v/>
      </c>
      <c r="D296" s="32" t="str">
        <f t="shared" si="101"/>
        <v/>
      </c>
      <c r="E296" s="50" t="str">
        <f t="shared" si="100"/>
        <v/>
      </c>
      <c r="F296" s="50" t="str">
        <f t="shared" si="100"/>
        <v/>
      </c>
      <c r="G296" s="50" t="str">
        <f t="shared" si="100"/>
        <v/>
      </c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34"/>
      <c r="AG296" s="35"/>
      <c r="AH296" s="15"/>
      <c r="AI296" s="15"/>
      <c r="AJ296" s="15"/>
    </row>
    <row r="297" spans="1:36" hidden="1" x14ac:dyDescent="0.25">
      <c r="A297" s="3">
        <v>88</v>
      </c>
      <c r="B297" s="63"/>
      <c r="C297" s="31" t="str">
        <f t="shared" si="98"/>
        <v/>
      </c>
      <c r="D297" s="32" t="str">
        <f t="shared" si="101"/>
        <v/>
      </c>
      <c r="E297" s="50" t="str">
        <f t="shared" si="100"/>
        <v/>
      </c>
      <c r="F297" s="50" t="str">
        <f t="shared" si="100"/>
        <v/>
      </c>
      <c r="G297" s="50" t="str">
        <f t="shared" si="100"/>
        <v/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34"/>
      <c r="AG297" s="35"/>
      <c r="AH297" s="15"/>
      <c r="AI297" s="15"/>
      <c r="AJ297" s="15"/>
    </row>
    <row r="298" spans="1:36" hidden="1" x14ac:dyDescent="0.25">
      <c r="A298" s="3">
        <v>89</v>
      </c>
      <c r="B298" s="63"/>
      <c r="C298" s="31" t="str">
        <f t="shared" si="98"/>
        <v/>
      </c>
      <c r="D298" s="32" t="str">
        <f t="shared" si="101"/>
        <v/>
      </c>
      <c r="E298" s="50" t="str">
        <f t="shared" si="100"/>
        <v/>
      </c>
      <c r="F298" s="50" t="str">
        <f t="shared" si="100"/>
        <v/>
      </c>
      <c r="G298" s="50" t="str">
        <f t="shared" si="100"/>
        <v/>
      </c>
      <c r="AF298" s="13"/>
      <c r="AG298" s="14"/>
    </row>
    <row r="299" spans="1:36" hidden="1" x14ac:dyDescent="0.25">
      <c r="A299" s="3">
        <v>90</v>
      </c>
      <c r="B299" s="63"/>
      <c r="C299" s="31" t="str">
        <f t="shared" si="98"/>
        <v/>
      </c>
      <c r="D299" s="32" t="str">
        <f t="shared" si="101"/>
        <v/>
      </c>
      <c r="E299" s="50" t="str">
        <f t="shared" si="100"/>
        <v/>
      </c>
      <c r="F299" s="50" t="str">
        <f t="shared" si="100"/>
        <v/>
      </c>
      <c r="G299" s="50" t="str">
        <f t="shared" si="100"/>
        <v/>
      </c>
      <c r="AF299" s="13"/>
      <c r="AG299" s="14"/>
    </row>
    <row r="300" spans="1:36" hidden="1" x14ac:dyDescent="0.25">
      <c r="A300" s="3">
        <v>91</v>
      </c>
      <c r="B300" s="63"/>
      <c r="C300" s="31" t="str">
        <f t="shared" si="98"/>
        <v/>
      </c>
      <c r="D300" s="32" t="str">
        <f t="shared" si="101"/>
        <v/>
      </c>
      <c r="E300" s="50" t="str">
        <f t="shared" si="100"/>
        <v/>
      </c>
      <c r="F300" s="50" t="str">
        <f t="shared" si="100"/>
        <v/>
      </c>
      <c r="G300" s="50" t="str">
        <f t="shared" si="100"/>
        <v/>
      </c>
      <c r="AF300" s="13"/>
      <c r="AG300" s="14"/>
    </row>
    <row r="301" spans="1:36" hidden="1" x14ac:dyDescent="0.25">
      <c r="A301" s="3">
        <v>92</v>
      </c>
      <c r="B301" s="63"/>
      <c r="C301" s="31" t="str">
        <f t="shared" si="98"/>
        <v/>
      </c>
      <c r="D301" s="32" t="str">
        <f t="shared" si="101"/>
        <v/>
      </c>
      <c r="E301" s="50" t="str">
        <f t="shared" si="100"/>
        <v/>
      </c>
      <c r="F301" s="50" t="str">
        <f t="shared" si="100"/>
        <v/>
      </c>
      <c r="G301" s="50" t="str">
        <f t="shared" si="100"/>
        <v/>
      </c>
      <c r="AF301" s="13"/>
      <c r="AG301" s="14"/>
    </row>
    <row r="302" spans="1:36" hidden="1" x14ac:dyDescent="0.25">
      <c r="A302" s="3">
        <v>93</v>
      </c>
      <c r="B302" s="63"/>
      <c r="C302" s="31" t="str">
        <f t="shared" ref="C302:C365" si="102">IF(E$210="","",HLOOKUP(C$210,$B$3:$AG$204,$A302,0))</f>
        <v/>
      </c>
      <c r="D302" s="32" t="str">
        <f t="shared" si="101"/>
        <v/>
      </c>
      <c r="E302" s="50" t="str">
        <f t="shared" si="100"/>
        <v/>
      </c>
      <c r="F302" s="50" t="str">
        <f t="shared" si="100"/>
        <v/>
      </c>
      <c r="G302" s="50" t="str">
        <f t="shared" si="100"/>
        <v/>
      </c>
      <c r="AF302" s="13"/>
      <c r="AG302" s="14"/>
    </row>
    <row r="303" spans="1:36" hidden="1" x14ac:dyDescent="0.25">
      <c r="A303" s="3">
        <v>94</v>
      </c>
      <c r="B303" s="63"/>
      <c r="C303" s="31" t="str">
        <f t="shared" si="102"/>
        <v/>
      </c>
      <c r="D303" s="32" t="str">
        <f t="shared" si="101"/>
        <v/>
      </c>
      <c r="E303" s="50" t="str">
        <f t="shared" si="100"/>
        <v/>
      </c>
      <c r="F303" s="50" t="str">
        <f t="shared" si="100"/>
        <v/>
      </c>
      <c r="G303" s="50" t="str">
        <f t="shared" si="100"/>
        <v/>
      </c>
      <c r="AF303" s="13"/>
      <c r="AG303" s="14"/>
    </row>
    <row r="304" spans="1:36" hidden="1" x14ac:dyDescent="0.25">
      <c r="A304" s="3">
        <v>95</v>
      </c>
      <c r="B304" s="63"/>
      <c r="C304" s="31" t="str">
        <f t="shared" si="102"/>
        <v/>
      </c>
      <c r="D304" s="32" t="str">
        <f t="shared" si="101"/>
        <v/>
      </c>
      <c r="E304" s="50" t="str">
        <f t="shared" si="100"/>
        <v/>
      </c>
      <c r="F304" s="50" t="str">
        <f t="shared" si="100"/>
        <v/>
      </c>
      <c r="G304" s="50" t="str">
        <f t="shared" si="100"/>
        <v/>
      </c>
      <c r="AF304" s="13"/>
      <c r="AG304" s="14"/>
    </row>
    <row r="305" spans="1:33" hidden="1" x14ac:dyDescent="0.25">
      <c r="A305" s="3">
        <v>96</v>
      </c>
      <c r="B305" s="63"/>
      <c r="C305" s="31" t="str">
        <f t="shared" si="102"/>
        <v/>
      </c>
      <c r="D305" s="32" t="str">
        <f t="shared" si="101"/>
        <v/>
      </c>
      <c r="E305" s="50" t="str">
        <f t="shared" si="100"/>
        <v/>
      </c>
      <c r="F305" s="50" t="str">
        <f t="shared" si="100"/>
        <v/>
      </c>
      <c r="G305" s="50" t="str">
        <f t="shared" si="100"/>
        <v/>
      </c>
      <c r="AF305" s="13"/>
      <c r="AG305" s="14"/>
    </row>
    <row r="306" spans="1:33" hidden="1" x14ac:dyDescent="0.25">
      <c r="A306" s="3">
        <v>97</v>
      </c>
      <c r="B306" s="63"/>
      <c r="C306" s="31" t="str">
        <f t="shared" si="102"/>
        <v/>
      </c>
      <c r="D306" s="32" t="str">
        <f t="shared" si="101"/>
        <v/>
      </c>
      <c r="E306" s="50" t="str">
        <f t="shared" si="100"/>
        <v/>
      </c>
      <c r="F306" s="50" t="str">
        <f t="shared" si="100"/>
        <v/>
      </c>
      <c r="G306" s="50" t="str">
        <f t="shared" si="100"/>
        <v/>
      </c>
      <c r="AF306" s="13"/>
      <c r="AG306" s="14"/>
    </row>
    <row r="307" spans="1:33" hidden="1" x14ac:dyDescent="0.25">
      <c r="A307" s="3">
        <v>98</v>
      </c>
      <c r="B307" s="63"/>
      <c r="C307" s="31" t="str">
        <f t="shared" si="102"/>
        <v/>
      </c>
      <c r="D307" s="32" t="str">
        <f t="shared" si="101"/>
        <v/>
      </c>
      <c r="E307" s="50" t="str">
        <f t="shared" si="100"/>
        <v/>
      </c>
      <c r="F307" s="50" t="str">
        <f t="shared" si="100"/>
        <v/>
      </c>
      <c r="G307" s="50" t="str">
        <f t="shared" si="100"/>
        <v/>
      </c>
      <c r="AF307" s="13"/>
      <c r="AG307" s="14"/>
    </row>
    <row r="308" spans="1:33" hidden="1" x14ac:dyDescent="0.25">
      <c r="A308" s="3">
        <v>99</v>
      </c>
      <c r="B308" s="63"/>
      <c r="C308" s="31" t="str">
        <f t="shared" si="102"/>
        <v/>
      </c>
      <c r="D308" s="32" t="str">
        <f t="shared" si="101"/>
        <v/>
      </c>
      <c r="E308" s="50" t="str">
        <f t="shared" si="100"/>
        <v/>
      </c>
      <c r="F308" s="50" t="str">
        <f t="shared" si="100"/>
        <v/>
      </c>
      <c r="G308" s="50" t="str">
        <f t="shared" si="100"/>
        <v/>
      </c>
      <c r="AF308" s="13"/>
      <c r="AG308" s="14"/>
    </row>
    <row r="309" spans="1:33" hidden="1" x14ac:dyDescent="0.25">
      <c r="A309" s="3">
        <v>100</v>
      </c>
      <c r="B309" s="63"/>
      <c r="C309" s="31" t="str">
        <f t="shared" si="102"/>
        <v/>
      </c>
      <c r="D309" s="32" t="str">
        <f t="shared" si="101"/>
        <v/>
      </c>
      <c r="E309" s="50" t="str">
        <f t="shared" si="100"/>
        <v/>
      </c>
      <c r="F309" s="50" t="str">
        <f t="shared" si="100"/>
        <v/>
      </c>
      <c r="G309" s="50" t="str">
        <f t="shared" si="100"/>
        <v/>
      </c>
      <c r="AF309" s="13"/>
      <c r="AG309" s="14"/>
    </row>
    <row r="310" spans="1:33" hidden="1" x14ac:dyDescent="0.25">
      <c r="A310" s="3">
        <v>101</v>
      </c>
      <c r="B310" s="63"/>
      <c r="C310" s="31" t="str">
        <f t="shared" si="102"/>
        <v/>
      </c>
      <c r="D310" s="32" t="str">
        <f t="shared" si="101"/>
        <v/>
      </c>
      <c r="E310" s="50" t="str">
        <f t="shared" si="100"/>
        <v/>
      </c>
      <c r="F310" s="50" t="str">
        <f t="shared" si="100"/>
        <v/>
      </c>
      <c r="G310" s="50" t="str">
        <f t="shared" si="100"/>
        <v/>
      </c>
      <c r="AF310" s="13"/>
      <c r="AG310" s="14"/>
    </row>
    <row r="311" spans="1:33" hidden="1" x14ac:dyDescent="0.25">
      <c r="A311" s="3">
        <v>102</v>
      </c>
      <c r="B311" s="63"/>
      <c r="C311" s="31" t="str">
        <f t="shared" si="102"/>
        <v/>
      </c>
      <c r="D311" s="32" t="str">
        <f t="shared" si="101"/>
        <v/>
      </c>
      <c r="E311" s="50" t="str">
        <f t="shared" si="100"/>
        <v/>
      </c>
      <c r="F311" s="50" t="str">
        <f t="shared" si="100"/>
        <v/>
      </c>
      <c r="G311" s="50" t="str">
        <f t="shared" si="100"/>
        <v/>
      </c>
      <c r="AF311" s="13"/>
      <c r="AG311" s="14"/>
    </row>
    <row r="312" spans="1:33" hidden="1" x14ac:dyDescent="0.25">
      <c r="A312" s="3">
        <v>103</v>
      </c>
      <c r="B312" s="63"/>
      <c r="C312" s="31" t="str">
        <f t="shared" si="102"/>
        <v/>
      </c>
      <c r="D312" s="32" t="str">
        <f t="shared" si="101"/>
        <v/>
      </c>
      <c r="E312" s="50" t="str">
        <f t="shared" si="100"/>
        <v/>
      </c>
      <c r="F312" s="50" t="str">
        <f t="shared" si="100"/>
        <v/>
      </c>
      <c r="G312" s="50" t="str">
        <f t="shared" si="100"/>
        <v/>
      </c>
      <c r="AF312" s="13"/>
      <c r="AG312" s="14"/>
    </row>
    <row r="313" spans="1:33" hidden="1" x14ac:dyDescent="0.25">
      <c r="A313" s="3">
        <v>104</v>
      </c>
      <c r="B313" s="63"/>
      <c r="C313" s="31" t="str">
        <f t="shared" si="102"/>
        <v/>
      </c>
      <c r="D313" s="32" t="str">
        <f t="shared" si="101"/>
        <v/>
      </c>
      <c r="E313" s="50" t="str">
        <f t="shared" si="100"/>
        <v/>
      </c>
      <c r="F313" s="50" t="str">
        <f t="shared" si="100"/>
        <v/>
      </c>
      <c r="G313" s="50" t="str">
        <f t="shared" si="100"/>
        <v/>
      </c>
      <c r="AF313" s="13"/>
      <c r="AG313" s="14"/>
    </row>
    <row r="314" spans="1:33" hidden="1" x14ac:dyDescent="0.25">
      <c r="A314" s="3">
        <v>105</v>
      </c>
      <c r="B314" s="63"/>
      <c r="C314" s="31" t="str">
        <f t="shared" si="102"/>
        <v/>
      </c>
      <c r="D314" s="32" t="str">
        <f t="shared" si="101"/>
        <v/>
      </c>
      <c r="E314" s="50" t="str">
        <f t="shared" si="100"/>
        <v/>
      </c>
      <c r="F314" s="50" t="str">
        <f t="shared" si="100"/>
        <v/>
      </c>
      <c r="G314" s="50" t="str">
        <f t="shared" si="100"/>
        <v/>
      </c>
      <c r="AF314" s="13"/>
      <c r="AG314" s="14"/>
    </row>
    <row r="315" spans="1:33" hidden="1" x14ac:dyDescent="0.25">
      <c r="A315" s="3">
        <v>106</v>
      </c>
      <c r="B315" s="63"/>
      <c r="C315" s="31" t="str">
        <f t="shared" si="102"/>
        <v/>
      </c>
      <c r="D315" s="32" t="str">
        <f t="shared" si="101"/>
        <v/>
      </c>
      <c r="E315" s="50" t="str">
        <f t="shared" ref="E315:G378" si="103">IF(E$210="","",HLOOKUP(E$210,$B$3:$AG$204,$A315,0))</f>
        <v/>
      </c>
      <c r="F315" s="50" t="str">
        <f t="shared" si="103"/>
        <v/>
      </c>
      <c r="G315" s="50" t="str">
        <f t="shared" si="103"/>
        <v/>
      </c>
      <c r="AF315" s="13"/>
      <c r="AG315" s="14"/>
    </row>
    <row r="316" spans="1:33" hidden="1" x14ac:dyDescent="0.25">
      <c r="A316" s="3">
        <v>107</v>
      </c>
      <c r="B316" s="63"/>
      <c r="C316" s="31" t="str">
        <f t="shared" si="102"/>
        <v/>
      </c>
      <c r="D316" s="32" t="str">
        <f t="shared" si="101"/>
        <v/>
      </c>
      <c r="E316" s="50" t="str">
        <f t="shared" si="103"/>
        <v/>
      </c>
      <c r="F316" s="50" t="str">
        <f t="shared" si="103"/>
        <v/>
      </c>
      <c r="G316" s="50" t="str">
        <f t="shared" si="103"/>
        <v/>
      </c>
      <c r="AF316" s="13"/>
      <c r="AG316" s="14"/>
    </row>
    <row r="317" spans="1:33" hidden="1" x14ac:dyDescent="0.25">
      <c r="A317" s="3">
        <v>108</v>
      </c>
      <c r="B317" s="63"/>
      <c r="C317" s="31" t="str">
        <f t="shared" si="102"/>
        <v/>
      </c>
      <c r="D317" s="32" t="str">
        <f t="shared" si="101"/>
        <v/>
      </c>
      <c r="E317" s="50" t="str">
        <f t="shared" si="103"/>
        <v/>
      </c>
      <c r="F317" s="50" t="str">
        <f t="shared" si="103"/>
        <v/>
      </c>
      <c r="G317" s="50" t="str">
        <f t="shared" si="103"/>
        <v/>
      </c>
      <c r="AF317" s="13"/>
      <c r="AG317" s="14"/>
    </row>
    <row r="318" spans="1:33" hidden="1" x14ac:dyDescent="0.25">
      <c r="A318" s="3">
        <v>109</v>
      </c>
      <c r="B318" s="63"/>
      <c r="C318" s="31" t="str">
        <f t="shared" si="102"/>
        <v/>
      </c>
      <c r="D318" s="32" t="str">
        <f t="shared" si="101"/>
        <v/>
      </c>
      <c r="E318" s="50" t="str">
        <f t="shared" si="103"/>
        <v/>
      </c>
      <c r="F318" s="50" t="str">
        <f t="shared" si="103"/>
        <v/>
      </c>
      <c r="G318" s="50" t="str">
        <f t="shared" si="103"/>
        <v/>
      </c>
      <c r="AF318" s="13"/>
      <c r="AG318" s="14"/>
    </row>
    <row r="319" spans="1:33" hidden="1" x14ac:dyDescent="0.25">
      <c r="A319" s="3">
        <v>110</v>
      </c>
      <c r="B319" s="63"/>
      <c r="C319" s="31" t="str">
        <f t="shared" si="102"/>
        <v/>
      </c>
      <c r="D319" s="32" t="str">
        <f t="shared" si="101"/>
        <v/>
      </c>
      <c r="E319" s="50" t="str">
        <f t="shared" si="103"/>
        <v/>
      </c>
      <c r="F319" s="50" t="str">
        <f t="shared" si="103"/>
        <v/>
      </c>
      <c r="G319" s="50" t="str">
        <f t="shared" si="103"/>
        <v/>
      </c>
      <c r="AF319" s="13"/>
      <c r="AG319" s="14"/>
    </row>
    <row r="320" spans="1:33" hidden="1" x14ac:dyDescent="0.25">
      <c r="A320" s="3">
        <v>111</v>
      </c>
      <c r="B320" s="63"/>
      <c r="C320" s="31" t="str">
        <f t="shared" si="102"/>
        <v/>
      </c>
      <c r="D320" s="32" t="str">
        <f t="shared" si="101"/>
        <v/>
      </c>
      <c r="E320" s="50" t="str">
        <f t="shared" si="103"/>
        <v/>
      </c>
      <c r="F320" s="50" t="str">
        <f t="shared" si="103"/>
        <v/>
      </c>
      <c r="G320" s="50" t="str">
        <f t="shared" si="103"/>
        <v/>
      </c>
      <c r="AF320" s="13"/>
      <c r="AG320" s="14"/>
    </row>
    <row r="321" spans="1:33" hidden="1" x14ac:dyDescent="0.25">
      <c r="A321" s="3">
        <v>112</v>
      </c>
      <c r="B321" s="63"/>
      <c r="C321" s="31" t="str">
        <f t="shared" si="102"/>
        <v/>
      </c>
      <c r="D321" s="32" t="str">
        <f t="shared" si="101"/>
        <v/>
      </c>
      <c r="E321" s="50" t="str">
        <f t="shared" si="103"/>
        <v/>
      </c>
      <c r="F321" s="50" t="str">
        <f t="shared" si="103"/>
        <v/>
      </c>
      <c r="G321" s="50" t="str">
        <f t="shared" si="103"/>
        <v/>
      </c>
      <c r="AF321" s="13"/>
      <c r="AG321" s="14"/>
    </row>
    <row r="322" spans="1:33" hidden="1" x14ac:dyDescent="0.25">
      <c r="A322" s="3">
        <v>113</v>
      </c>
      <c r="B322" s="63"/>
      <c r="C322" s="31" t="str">
        <f t="shared" si="102"/>
        <v/>
      </c>
      <c r="D322" s="32" t="str">
        <f t="shared" si="101"/>
        <v/>
      </c>
      <c r="E322" s="50" t="str">
        <f t="shared" si="103"/>
        <v/>
      </c>
      <c r="F322" s="50" t="str">
        <f t="shared" si="103"/>
        <v/>
      </c>
      <c r="G322" s="50" t="str">
        <f t="shared" si="103"/>
        <v/>
      </c>
      <c r="AF322" s="13"/>
      <c r="AG322" s="14"/>
    </row>
    <row r="323" spans="1:33" hidden="1" x14ac:dyDescent="0.25">
      <c r="A323" s="3">
        <v>114</v>
      </c>
      <c r="B323" s="63"/>
      <c r="C323" s="31" t="str">
        <f t="shared" si="102"/>
        <v/>
      </c>
      <c r="D323" s="32" t="str">
        <f t="shared" si="101"/>
        <v/>
      </c>
      <c r="E323" s="50" t="str">
        <f t="shared" si="103"/>
        <v/>
      </c>
      <c r="F323" s="50" t="str">
        <f t="shared" si="103"/>
        <v/>
      </c>
      <c r="G323" s="50" t="str">
        <f t="shared" si="103"/>
        <v/>
      </c>
      <c r="AF323" s="13"/>
      <c r="AG323" s="14"/>
    </row>
    <row r="324" spans="1:33" hidden="1" x14ac:dyDescent="0.25">
      <c r="A324" s="3">
        <v>115</v>
      </c>
      <c r="B324" s="63"/>
      <c r="C324" s="31" t="str">
        <f t="shared" si="102"/>
        <v/>
      </c>
      <c r="D324" s="32" t="str">
        <f t="shared" si="101"/>
        <v/>
      </c>
      <c r="E324" s="50" t="str">
        <f t="shared" si="103"/>
        <v/>
      </c>
      <c r="F324" s="50" t="str">
        <f t="shared" si="103"/>
        <v/>
      </c>
      <c r="G324" s="50" t="str">
        <f t="shared" si="103"/>
        <v/>
      </c>
      <c r="AF324" s="13"/>
      <c r="AG324" s="14"/>
    </row>
    <row r="325" spans="1:33" hidden="1" x14ac:dyDescent="0.25">
      <c r="A325" s="3">
        <v>116</v>
      </c>
      <c r="B325" s="63"/>
      <c r="C325" s="31" t="str">
        <f t="shared" si="102"/>
        <v/>
      </c>
      <c r="D325" s="32" t="str">
        <f t="shared" si="101"/>
        <v/>
      </c>
      <c r="E325" s="50" t="str">
        <f t="shared" si="103"/>
        <v/>
      </c>
      <c r="F325" s="50" t="str">
        <f t="shared" si="103"/>
        <v/>
      </c>
      <c r="G325" s="50" t="str">
        <f t="shared" si="103"/>
        <v/>
      </c>
      <c r="AF325" s="13"/>
      <c r="AG325" s="14"/>
    </row>
    <row r="326" spans="1:33" hidden="1" x14ac:dyDescent="0.25">
      <c r="A326" s="3">
        <v>117</v>
      </c>
      <c r="B326" s="63"/>
      <c r="C326" s="31" t="str">
        <f t="shared" si="102"/>
        <v/>
      </c>
      <c r="D326" s="32" t="str">
        <f t="shared" si="101"/>
        <v/>
      </c>
      <c r="E326" s="50" t="str">
        <f t="shared" si="103"/>
        <v/>
      </c>
      <c r="F326" s="50" t="str">
        <f t="shared" si="103"/>
        <v/>
      </c>
      <c r="G326" s="50" t="str">
        <f t="shared" si="103"/>
        <v/>
      </c>
      <c r="AF326" s="13"/>
      <c r="AG326" s="14"/>
    </row>
    <row r="327" spans="1:33" hidden="1" x14ac:dyDescent="0.25">
      <c r="A327" s="3">
        <v>118</v>
      </c>
      <c r="B327" s="63"/>
      <c r="C327" s="31" t="str">
        <f t="shared" si="102"/>
        <v/>
      </c>
      <c r="D327" s="32" t="str">
        <f t="shared" si="101"/>
        <v/>
      </c>
      <c r="E327" s="50" t="str">
        <f t="shared" si="103"/>
        <v/>
      </c>
      <c r="F327" s="50" t="str">
        <f t="shared" si="103"/>
        <v/>
      </c>
      <c r="G327" s="50" t="str">
        <f t="shared" si="103"/>
        <v/>
      </c>
      <c r="AF327" s="13"/>
      <c r="AG327" s="14"/>
    </row>
    <row r="328" spans="1:33" hidden="1" x14ac:dyDescent="0.25">
      <c r="A328" s="3">
        <v>119</v>
      </c>
      <c r="B328" s="63"/>
      <c r="C328" s="31" t="str">
        <f t="shared" si="102"/>
        <v/>
      </c>
      <c r="D328" s="32" t="str">
        <f t="shared" si="101"/>
        <v/>
      </c>
      <c r="E328" s="50" t="str">
        <f t="shared" si="103"/>
        <v/>
      </c>
      <c r="F328" s="50" t="str">
        <f t="shared" si="103"/>
        <v/>
      </c>
      <c r="G328" s="50" t="str">
        <f t="shared" si="103"/>
        <v/>
      </c>
      <c r="AF328" s="13"/>
      <c r="AG328" s="14"/>
    </row>
    <row r="329" spans="1:33" hidden="1" x14ac:dyDescent="0.25">
      <c r="A329" s="3">
        <v>120</v>
      </c>
      <c r="B329" s="63"/>
      <c r="C329" s="31" t="str">
        <f t="shared" si="102"/>
        <v/>
      </c>
      <c r="D329" s="32" t="str">
        <f t="shared" si="101"/>
        <v/>
      </c>
      <c r="E329" s="50" t="str">
        <f t="shared" si="103"/>
        <v/>
      </c>
      <c r="F329" s="50" t="str">
        <f t="shared" si="103"/>
        <v/>
      </c>
      <c r="G329" s="50" t="str">
        <f t="shared" si="103"/>
        <v/>
      </c>
      <c r="AF329" s="13"/>
      <c r="AG329" s="14"/>
    </row>
    <row r="330" spans="1:33" hidden="1" x14ac:dyDescent="0.25">
      <c r="A330" s="3">
        <v>121</v>
      </c>
      <c r="B330" s="63"/>
      <c r="C330" s="31" t="str">
        <f t="shared" si="102"/>
        <v/>
      </c>
      <c r="D330" s="32" t="str">
        <f t="shared" si="101"/>
        <v/>
      </c>
      <c r="E330" s="50" t="str">
        <f t="shared" si="103"/>
        <v/>
      </c>
      <c r="F330" s="50" t="str">
        <f t="shared" si="103"/>
        <v/>
      </c>
      <c r="G330" s="50" t="str">
        <f t="shared" si="103"/>
        <v/>
      </c>
      <c r="AF330" s="13"/>
      <c r="AG330" s="14"/>
    </row>
    <row r="331" spans="1:33" hidden="1" x14ac:dyDescent="0.25">
      <c r="A331" s="3">
        <v>122</v>
      </c>
      <c r="B331" s="63"/>
      <c r="C331" s="31" t="str">
        <f t="shared" si="102"/>
        <v/>
      </c>
      <c r="D331" s="32" t="str">
        <f t="shared" si="101"/>
        <v/>
      </c>
      <c r="E331" s="50" t="str">
        <f t="shared" si="103"/>
        <v/>
      </c>
      <c r="F331" s="50" t="str">
        <f t="shared" si="103"/>
        <v/>
      </c>
      <c r="G331" s="50" t="str">
        <f t="shared" si="103"/>
        <v/>
      </c>
      <c r="AF331" s="13"/>
      <c r="AG331" s="14"/>
    </row>
    <row r="332" spans="1:33" hidden="1" x14ac:dyDescent="0.25">
      <c r="A332" s="3">
        <v>123</v>
      </c>
      <c r="B332" s="63"/>
      <c r="C332" s="31" t="str">
        <f t="shared" si="102"/>
        <v/>
      </c>
      <c r="D332" s="32" t="str">
        <f t="shared" si="101"/>
        <v/>
      </c>
      <c r="E332" s="50" t="str">
        <f t="shared" si="103"/>
        <v/>
      </c>
      <c r="F332" s="50" t="str">
        <f t="shared" si="103"/>
        <v/>
      </c>
      <c r="G332" s="50" t="str">
        <f t="shared" si="103"/>
        <v/>
      </c>
      <c r="AF332" s="13"/>
      <c r="AG332" s="14"/>
    </row>
    <row r="333" spans="1:33" hidden="1" x14ac:dyDescent="0.25">
      <c r="A333" s="3">
        <v>124</v>
      </c>
      <c r="B333" s="63"/>
      <c r="C333" s="31" t="str">
        <f t="shared" si="102"/>
        <v/>
      </c>
      <c r="D333" s="32" t="str">
        <f t="shared" si="101"/>
        <v/>
      </c>
      <c r="E333" s="50" t="str">
        <f t="shared" si="103"/>
        <v/>
      </c>
      <c r="F333" s="50" t="str">
        <f t="shared" si="103"/>
        <v/>
      </c>
      <c r="G333" s="50" t="str">
        <f t="shared" si="103"/>
        <v/>
      </c>
      <c r="AF333" s="13"/>
      <c r="AG333" s="14"/>
    </row>
    <row r="334" spans="1:33" hidden="1" x14ac:dyDescent="0.25">
      <c r="A334" s="3">
        <v>125</v>
      </c>
      <c r="B334" s="63"/>
      <c r="C334" s="31" t="str">
        <f t="shared" si="102"/>
        <v/>
      </c>
      <c r="D334" s="32" t="str">
        <f t="shared" si="101"/>
        <v/>
      </c>
      <c r="E334" s="50" t="str">
        <f t="shared" si="103"/>
        <v/>
      </c>
      <c r="F334" s="50" t="str">
        <f t="shared" si="103"/>
        <v/>
      </c>
      <c r="G334" s="50" t="str">
        <f t="shared" si="103"/>
        <v/>
      </c>
      <c r="AF334" s="13"/>
      <c r="AG334" s="14"/>
    </row>
    <row r="335" spans="1:33" hidden="1" x14ac:dyDescent="0.25">
      <c r="A335" s="3">
        <v>126</v>
      </c>
      <c r="B335" s="63"/>
      <c r="C335" s="31" t="str">
        <f t="shared" si="102"/>
        <v/>
      </c>
      <c r="D335" s="32" t="str">
        <f t="shared" si="101"/>
        <v/>
      </c>
      <c r="E335" s="50" t="str">
        <f t="shared" si="103"/>
        <v/>
      </c>
      <c r="F335" s="50" t="str">
        <f t="shared" si="103"/>
        <v/>
      </c>
      <c r="G335" s="50" t="str">
        <f t="shared" si="103"/>
        <v/>
      </c>
      <c r="AF335" s="13"/>
      <c r="AG335" s="14"/>
    </row>
    <row r="336" spans="1:33" hidden="1" x14ac:dyDescent="0.25">
      <c r="A336" s="3">
        <v>127</v>
      </c>
      <c r="B336" s="63"/>
      <c r="C336" s="31" t="str">
        <f t="shared" si="102"/>
        <v/>
      </c>
      <c r="D336" s="32" t="str">
        <f t="shared" si="101"/>
        <v/>
      </c>
      <c r="E336" s="50" t="str">
        <f t="shared" si="103"/>
        <v/>
      </c>
      <c r="F336" s="50" t="str">
        <f t="shared" si="103"/>
        <v/>
      </c>
      <c r="G336" s="50" t="str">
        <f t="shared" si="103"/>
        <v/>
      </c>
      <c r="AF336" s="13"/>
      <c r="AG336" s="14"/>
    </row>
    <row r="337" spans="1:33" hidden="1" x14ac:dyDescent="0.25">
      <c r="A337" s="3">
        <v>128</v>
      </c>
      <c r="B337" s="63"/>
      <c r="C337" s="31" t="str">
        <f t="shared" si="102"/>
        <v/>
      </c>
      <c r="D337" s="32" t="str">
        <f t="shared" si="101"/>
        <v/>
      </c>
      <c r="E337" s="50" t="str">
        <f t="shared" si="103"/>
        <v/>
      </c>
      <c r="F337" s="50" t="str">
        <f t="shared" si="103"/>
        <v/>
      </c>
      <c r="G337" s="50" t="str">
        <f t="shared" si="103"/>
        <v/>
      </c>
      <c r="AF337" s="13"/>
      <c r="AG337" s="14"/>
    </row>
    <row r="338" spans="1:33" hidden="1" x14ac:dyDescent="0.25">
      <c r="A338" s="3">
        <v>129</v>
      </c>
      <c r="B338" s="63"/>
      <c r="C338" s="31" t="str">
        <f t="shared" si="102"/>
        <v/>
      </c>
      <c r="D338" s="32" t="str">
        <f t="shared" si="101"/>
        <v/>
      </c>
      <c r="E338" s="50" t="str">
        <f t="shared" si="103"/>
        <v/>
      </c>
      <c r="F338" s="50" t="str">
        <f t="shared" si="103"/>
        <v/>
      </c>
      <c r="G338" s="50" t="str">
        <f t="shared" si="103"/>
        <v/>
      </c>
      <c r="AF338" s="13"/>
      <c r="AG338" s="14"/>
    </row>
    <row r="339" spans="1:33" hidden="1" x14ac:dyDescent="0.25">
      <c r="A339" s="3">
        <v>130</v>
      </c>
      <c r="B339" s="63"/>
      <c r="C339" s="31" t="str">
        <f t="shared" si="102"/>
        <v/>
      </c>
      <c r="D339" s="32" t="str">
        <f t="shared" si="101"/>
        <v/>
      </c>
      <c r="E339" s="50" t="str">
        <f t="shared" si="103"/>
        <v/>
      </c>
      <c r="F339" s="50" t="str">
        <f t="shared" si="103"/>
        <v/>
      </c>
      <c r="G339" s="50" t="str">
        <f t="shared" si="103"/>
        <v/>
      </c>
      <c r="AF339" s="13"/>
      <c r="AG339" s="14"/>
    </row>
    <row r="340" spans="1:33" hidden="1" x14ac:dyDescent="0.25">
      <c r="A340" s="3">
        <v>131</v>
      </c>
      <c r="B340" s="63"/>
      <c r="C340" s="31" t="str">
        <f t="shared" si="102"/>
        <v/>
      </c>
      <c r="D340" s="32" t="str">
        <f t="shared" si="101"/>
        <v/>
      </c>
      <c r="E340" s="50" t="str">
        <f t="shared" si="103"/>
        <v/>
      </c>
      <c r="F340" s="50" t="str">
        <f t="shared" si="103"/>
        <v/>
      </c>
      <c r="G340" s="50" t="str">
        <f t="shared" si="103"/>
        <v/>
      </c>
      <c r="AF340" s="13"/>
      <c r="AG340" s="14"/>
    </row>
    <row r="341" spans="1:33" hidden="1" x14ac:dyDescent="0.25">
      <c r="A341" s="3">
        <v>132</v>
      </c>
      <c r="B341" s="63"/>
      <c r="C341" s="31" t="str">
        <f t="shared" si="102"/>
        <v/>
      </c>
      <c r="D341" s="32" t="str">
        <f t="shared" ref="D341:D404" si="104">IF(E$210="","",HLOOKUP(D$210,$B$3:$AG$204,$A341,0))</f>
        <v/>
      </c>
      <c r="E341" s="50" t="str">
        <f t="shared" si="103"/>
        <v/>
      </c>
      <c r="F341" s="50" t="str">
        <f t="shared" si="103"/>
        <v/>
      </c>
      <c r="G341" s="50" t="str">
        <f t="shared" si="103"/>
        <v/>
      </c>
      <c r="AF341" s="13"/>
      <c r="AG341" s="14"/>
    </row>
    <row r="342" spans="1:33" hidden="1" x14ac:dyDescent="0.25">
      <c r="A342" s="3">
        <v>133</v>
      </c>
      <c r="B342" s="63"/>
      <c r="C342" s="31" t="str">
        <f t="shared" si="102"/>
        <v/>
      </c>
      <c r="D342" s="32" t="str">
        <f t="shared" si="104"/>
        <v/>
      </c>
      <c r="E342" s="50" t="str">
        <f t="shared" si="103"/>
        <v/>
      </c>
      <c r="F342" s="50" t="str">
        <f t="shared" si="103"/>
        <v/>
      </c>
      <c r="G342" s="50" t="str">
        <f t="shared" si="103"/>
        <v/>
      </c>
      <c r="AF342" s="13"/>
      <c r="AG342" s="14"/>
    </row>
    <row r="343" spans="1:33" hidden="1" x14ac:dyDescent="0.25">
      <c r="A343" s="3">
        <v>134</v>
      </c>
      <c r="B343" s="63"/>
      <c r="C343" s="31" t="str">
        <f t="shared" si="102"/>
        <v/>
      </c>
      <c r="D343" s="32" t="str">
        <f t="shared" si="104"/>
        <v/>
      </c>
      <c r="E343" s="50" t="str">
        <f t="shared" si="103"/>
        <v/>
      </c>
      <c r="F343" s="50" t="str">
        <f t="shared" si="103"/>
        <v/>
      </c>
      <c r="G343" s="50" t="str">
        <f t="shared" si="103"/>
        <v/>
      </c>
      <c r="AF343" s="13"/>
      <c r="AG343" s="14"/>
    </row>
    <row r="344" spans="1:33" hidden="1" x14ac:dyDescent="0.25">
      <c r="A344" s="3">
        <v>135</v>
      </c>
      <c r="B344" s="63"/>
      <c r="C344" s="31" t="str">
        <f t="shared" si="102"/>
        <v/>
      </c>
      <c r="D344" s="32" t="str">
        <f t="shared" si="104"/>
        <v/>
      </c>
      <c r="E344" s="50" t="str">
        <f t="shared" si="103"/>
        <v/>
      </c>
      <c r="F344" s="50" t="str">
        <f t="shared" si="103"/>
        <v/>
      </c>
      <c r="G344" s="50" t="str">
        <f t="shared" si="103"/>
        <v/>
      </c>
      <c r="AF344" s="13"/>
      <c r="AG344" s="14"/>
    </row>
    <row r="345" spans="1:33" hidden="1" x14ac:dyDescent="0.25">
      <c r="A345" s="3">
        <v>136</v>
      </c>
      <c r="B345" s="63"/>
      <c r="C345" s="31" t="str">
        <f t="shared" si="102"/>
        <v/>
      </c>
      <c r="D345" s="32" t="str">
        <f t="shared" si="104"/>
        <v/>
      </c>
      <c r="E345" s="50" t="str">
        <f t="shared" si="103"/>
        <v/>
      </c>
      <c r="F345" s="50" t="str">
        <f t="shared" si="103"/>
        <v/>
      </c>
      <c r="G345" s="50" t="str">
        <f t="shared" si="103"/>
        <v/>
      </c>
      <c r="AF345" s="13"/>
      <c r="AG345" s="14"/>
    </row>
    <row r="346" spans="1:33" hidden="1" x14ac:dyDescent="0.25">
      <c r="A346" s="3">
        <v>137</v>
      </c>
      <c r="B346" s="63"/>
      <c r="C346" s="31" t="str">
        <f t="shared" si="102"/>
        <v/>
      </c>
      <c r="D346" s="32" t="str">
        <f t="shared" si="104"/>
        <v/>
      </c>
      <c r="E346" s="50" t="str">
        <f t="shared" si="103"/>
        <v/>
      </c>
      <c r="F346" s="50" t="str">
        <f t="shared" si="103"/>
        <v/>
      </c>
      <c r="G346" s="50" t="str">
        <f t="shared" si="103"/>
        <v/>
      </c>
      <c r="AF346" s="13"/>
      <c r="AG346" s="14"/>
    </row>
    <row r="347" spans="1:33" hidden="1" x14ac:dyDescent="0.25">
      <c r="A347" s="3">
        <v>138</v>
      </c>
      <c r="B347" s="63"/>
      <c r="C347" s="31" t="str">
        <f t="shared" si="102"/>
        <v/>
      </c>
      <c r="D347" s="32" t="str">
        <f t="shared" si="104"/>
        <v/>
      </c>
      <c r="E347" s="50" t="str">
        <f t="shared" si="103"/>
        <v/>
      </c>
      <c r="F347" s="50" t="str">
        <f t="shared" si="103"/>
        <v/>
      </c>
      <c r="G347" s="50" t="str">
        <f t="shared" si="103"/>
        <v/>
      </c>
      <c r="AF347" s="13"/>
      <c r="AG347" s="14"/>
    </row>
    <row r="348" spans="1:33" hidden="1" x14ac:dyDescent="0.25">
      <c r="A348" s="3">
        <v>139</v>
      </c>
      <c r="B348" s="63"/>
      <c r="C348" s="31" t="str">
        <f t="shared" si="102"/>
        <v/>
      </c>
      <c r="D348" s="32" t="str">
        <f t="shared" si="104"/>
        <v/>
      </c>
      <c r="E348" s="50" t="str">
        <f t="shared" si="103"/>
        <v/>
      </c>
      <c r="F348" s="50" t="str">
        <f t="shared" si="103"/>
        <v/>
      </c>
      <c r="G348" s="50" t="str">
        <f t="shared" si="103"/>
        <v/>
      </c>
      <c r="AF348" s="13"/>
      <c r="AG348" s="14"/>
    </row>
    <row r="349" spans="1:33" hidden="1" x14ac:dyDescent="0.25">
      <c r="A349" s="3">
        <v>140</v>
      </c>
      <c r="B349" s="63"/>
      <c r="C349" s="31" t="str">
        <f t="shared" si="102"/>
        <v/>
      </c>
      <c r="D349" s="32" t="str">
        <f t="shared" si="104"/>
        <v/>
      </c>
      <c r="E349" s="50" t="str">
        <f t="shared" si="103"/>
        <v/>
      </c>
      <c r="F349" s="50" t="str">
        <f t="shared" si="103"/>
        <v/>
      </c>
      <c r="G349" s="50" t="str">
        <f t="shared" si="103"/>
        <v/>
      </c>
      <c r="AF349" s="13"/>
      <c r="AG349" s="14"/>
    </row>
    <row r="350" spans="1:33" hidden="1" x14ac:dyDescent="0.25">
      <c r="A350" s="3">
        <v>141</v>
      </c>
      <c r="B350" s="63"/>
      <c r="C350" s="31" t="str">
        <f t="shared" si="102"/>
        <v/>
      </c>
      <c r="D350" s="32" t="str">
        <f t="shared" si="104"/>
        <v/>
      </c>
      <c r="E350" s="50" t="str">
        <f t="shared" si="103"/>
        <v/>
      </c>
      <c r="F350" s="50" t="str">
        <f t="shared" si="103"/>
        <v/>
      </c>
      <c r="G350" s="50" t="str">
        <f t="shared" si="103"/>
        <v/>
      </c>
      <c r="AF350" s="13"/>
      <c r="AG350" s="14"/>
    </row>
    <row r="351" spans="1:33" hidden="1" x14ac:dyDescent="0.25">
      <c r="A351" s="3">
        <v>142</v>
      </c>
      <c r="B351" s="63"/>
      <c r="C351" s="31" t="str">
        <f t="shared" si="102"/>
        <v/>
      </c>
      <c r="D351" s="32" t="str">
        <f t="shared" si="104"/>
        <v/>
      </c>
      <c r="E351" s="50" t="str">
        <f t="shared" si="103"/>
        <v/>
      </c>
      <c r="F351" s="50" t="str">
        <f t="shared" si="103"/>
        <v/>
      </c>
      <c r="G351" s="50" t="str">
        <f t="shared" si="103"/>
        <v/>
      </c>
      <c r="AF351" s="13"/>
      <c r="AG351" s="14"/>
    </row>
    <row r="352" spans="1:33" hidden="1" x14ac:dyDescent="0.25">
      <c r="A352" s="3">
        <v>143</v>
      </c>
      <c r="B352" s="63"/>
      <c r="C352" s="31" t="str">
        <f t="shared" si="102"/>
        <v/>
      </c>
      <c r="D352" s="32" t="str">
        <f t="shared" si="104"/>
        <v/>
      </c>
      <c r="E352" s="50" t="str">
        <f t="shared" si="103"/>
        <v/>
      </c>
      <c r="F352" s="50" t="str">
        <f t="shared" si="103"/>
        <v/>
      </c>
      <c r="G352" s="50" t="str">
        <f t="shared" si="103"/>
        <v/>
      </c>
      <c r="AF352" s="13"/>
      <c r="AG352" s="14"/>
    </row>
    <row r="353" spans="1:33" hidden="1" x14ac:dyDescent="0.25">
      <c r="A353" s="3">
        <v>144</v>
      </c>
      <c r="B353" s="63"/>
      <c r="C353" s="31" t="str">
        <f t="shared" si="102"/>
        <v/>
      </c>
      <c r="D353" s="32" t="str">
        <f t="shared" si="104"/>
        <v/>
      </c>
      <c r="E353" s="50" t="str">
        <f t="shared" si="103"/>
        <v/>
      </c>
      <c r="F353" s="50" t="str">
        <f t="shared" si="103"/>
        <v/>
      </c>
      <c r="G353" s="50" t="str">
        <f t="shared" si="103"/>
        <v/>
      </c>
      <c r="AF353" s="13"/>
      <c r="AG353" s="14"/>
    </row>
    <row r="354" spans="1:33" hidden="1" x14ac:dyDescent="0.25">
      <c r="A354" s="3">
        <v>145</v>
      </c>
      <c r="B354" s="63"/>
      <c r="C354" s="31" t="str">
        <f t="shared" si="102"/>
        <v/>
      </c>
      <c r="D354" s="32" t="str">
        <f t="shared" si="104"/>
        <v/>
      </c>
      <c r="E354" s="50" t="str">
        <f t="shared" si="103"/>
        <v/>
      </c>
      <c r="F354" s="50" t="str">
        <f t="shared" si="103"/>
        <v/>
      </c>
      <c r="G354" s="50" t="str">
        <f t="shared" si="103"/>
        <v/>
      </c>
      <c r="AF354" s="13"/>
      <c r="AG354" s="14"/>
    </row>
    <row r="355" spans="1:33" hidden="1" x14ac:dyDescent="0.25">
      <c r="A355" s="3">
        <v>146</v>
      </c>
      <c r="B355" s="63"/>
      <c r="C355" s="31" t="str">
        <f t="shared" si="102"/>
        <v/>
      </c>
      <c r="D355" s="32" t="str">
        <f t="shared" si="104"/>
        <v/>
      </c>
      <c r="E355" s="50" t="str">
        <f t="shared" si="103"/>
        <v/>
      </c>
      <c r="F355" s="50" t="str">
        <f t="shared" si="103"/>
        <v/>
      </c>
      <c r="G355" s="50" t="str">
        <f t="shared" si="103"/>
        <v/>
      </c>
      <c r="AF355" s="13"/>
      <c r="AG355" s="14"/>
    </row>
    <row r="356" spans="1:33" hidden="1" x14ac:dyDescent="0.25">
      <c r="A356" s="3">
        <v>147</v>
      </c>
      <c r="B356" s="63"/>
      <c r="C356" s="31" t="str">
        <f t="shared" si="102"/>
        <v/>
      </c>
      <c r="D356" s="32" t="str">
        <f t="shared" si="104"/>
        <v/>
      </c>
      <c r="E356" s="50" t="str">
        <f t="shared" si="103"/>
        <v/>
      </c>
      <c r="F356" s="50" t="str">
        <f t="shared" si="103"/>
        <v/>
      </c>
      <c r="G356" s="50" t="str">
        <f t="shared" si="103"/>
        <v/>
      </c>
      <c r="AF356" s="13"/>
      <c r="AG356" s="14"/>
    </row>
    <row r="357" spans="1:33" hidden="1" x14ac:dyDescent="0.25">
      <c r="A357" s="3">
        <v>148</v>
      </c>
      <c r="B357" s="63"/>
      <c r="C357" s="31" t="str">
        <f t="shared" si="102"/>
        <v/>
      </c>
      <c r="D357" s="32" t="str">
        <f t="shared" si="104"/>
        <v/>
      </c>
      <c r="E357" s="50" t="str">
        <f t="shared" si="103"/>
        <v/>
      </c>
      <c r="F357" s="50" t="str">
        <f t="shared" si="103"/>
        <v/>
      </c>
      <c r="G357" s="50" t="str">
        <f t="shared" si="103"/>
        <v/>
      </c>
      <c r="AF357" s="13"/>
      <c r="AG357" s="14"/>
    </row>
    <row r="358" spans="1:33" hidden="1" x14ac:dyDescent="0.25">
      <c r="A358" s="3">
        <v>149</v>
      </c>
      <c r="B358" s="63"/>
      <c r="C358" s="31" t="str">
        <f t="shared" si="102"/>
        <v/>
      </c>
      <c r="D358" s="32" t="str">
        <f t="shared" si="104"/>
        <v/>
      </c>
      <c r="E358" s="50" t="str">
        <f t="shared" si="103"/>
        <v/>
      </c>
      <c r="F358" s="50" t="str">
        <f t="shared" si="103"/>
        <v/>
      </c>
      <c r="G358" s="50" t="str">
        <f t="shared" si="103"/>
        <v/>
      </c>
      <c r="AF358" s="13"/>
      <c r="AG358" s="14"/>
    </row>
    <row r="359" spans="1:33" hidden="1" x14ac:dyDescent="0.25">
      <c r="A359" s="3">
        <v>150</v>
      </c>
      <c r="B359" s="63"/>
      <c r="C359" s="31" t="str">
        <f t="shared" si="102"/>
        <v/>
      </c>
      <c r="D359" s="32" t="str">
        <f t="shared" si="104"/>
        <v/>
      </c>
      <c r="E359" s="50" t="str">
        <f t="shared" si="103"/>
        <v/>
      </c>
      <c r="F359" s="50" t="str">
        <f t="shared" si="103"/>
        <v/>
      </c>
      <c r="G359" s="50" t="str">
        <f t="shared" si="103"/>
        <v/>
      </c>
      <c r="AF359" s="13"/>
      <c r="AG359" s="14"/>
    </row>
    <row r="360" spans="1:33" hidden="1" x14ac:dyDescent="0.25">
      <c r="A360" s="3">
        <v>151</v>
      </c>
      <c r="B360" s="63"/>
      <c r="C360" s="31" t="str">
        <f t="shared" si="102"/>
        <v/>
      </c>
      <c r="D360" s="32" t="str">
        <f t="shared" si="104"/>
        <v/>
      </c>
      <c r="E360" s="50" t="str">
        <f t="shared" si="103"/>
        <v/>
      </c>
      <c r="F360" s="50" t="str">
        <f t="shared" si="103"/>
        <v/>
      </c>
      <c r="G360" s="50" t="str">
        <f t="shared" si="103"/>
        <v/>
      </c>
      <c r="AF360" s="13"/>
      <c r="AG360" s="14"/>
    </row>
    <row r="361" spans="1:33" hidden="1" x14ac:dyDescent="0.25">
      <c r="A361" s="3">
        <v>152</v>
      </c>
      <c r="B361" s="63"/>
      <c r="C361" s="31" t="str">
        <f t="shared" si="102"/>
        <v/>
      </c>
      <c r="D361" s="32" t="str">
        <f t="shared" si="104"/>
        <v/>
      </c>
      <c r="E361" s="50" t="str">
        <f t="shared" si="103"/>
        <v/>
      </c>
      <c r="F361" s="50" t="str">
        <f t="shared" si="103"/>
        <v/>
      </c>
      <c r="G361" s="50" t="str">
        <f t="shared" si="103"/>
        <v/>
      </c>
      <c r="AF361" s="13"/>
      <c r="AG361" s="14"/>
    </row>
    <row r="362" spans="1:33" hidden="1" x14ac:dyDescent="0.25">
      <c r="A362" s="3">
        <v>153</v>
      </c>
      <c r="B362" s="63"/>
      <c r="C362" s="31" t="str">
        <f t="shared" si="102"/>
        <v/>
      </c>
      <c r="D362" s="32" t="str">
        <f t="shared" si="104"/>
        <v/>
      </c>
      <c r="E362" s="50" t="str">
        <f t="shared" si="103"/>
        <v/>
      </c>
      <c r="F362" s="50" t="str">
        <f t="shared" si="103"/>
        <v/>
      </c>
      <c r="G362" s="50" t="str">
        <f t="shared" si="103"/>
        <v/>
      </c>
      <c r="AF362" s="13"/>
      <c r="AG362" s="14"/>
    </row>
    <row r="363" spans="1:33" hidden="1" x14ac:dyDescent="0.25">
      <c r="A363" s="3">
        <v>154</v>
      </c>
      <c r="B363" s="63"/>
      <c r="C363" s="31" t="str">
        <f t="shared" si="102"/>
        <v/>
      </c>
      <c r="D363" s="32" t="str">
        <f t="shared" si="104"/>
        <v/>
      </c>
      <c r="E363" s="50" t="str">
        <f t="shared" si="103"/>
        <v/>
      </c>
      <c r="F363" s="50" t="str">
        <f t="shared" si="103"/>
        <v/>
      </c>
      <c r="G363" s="50" t="str">
        <f t="shared" si="103"/>
        <v/>
      </c>
      <c r="AF363" s="13"/>
      <c r="AG363" s="14"/>
    </row>
    <row r="364" spans="1:33" hidden="1" x14ac:dyDescent="0.25">
      <c r="A364" s="3">
        <v>155</v>
      </c>
      <c r="B364" s="63"/>
      <c r="C364" s="31" t="str">
        <f t="shared" si="102"/>
        <v/>
      </c>
      <c r="D364" s="32" t="str">
        <f t="shared" si="104"/>
        <v/>
      </c>
      <c r="E364" s="50" t="str">
        <f t="shared" si="103"/>
        <v/>
      </c>
      <c r="F364" s="50" t="str">
        <f t="shared" si="103"/>
        <v/>
      </c>
      <c r="G364" s="50" t="str">
        <f t="shared" si="103"/>
        <v/>
      </c>
      <c r="AF364" s="13"/>
      <c r="AG364" s="14"/>
    </row>
    <row r="365" spans="1:33" hidden="1" x14ac:dyDescent="0.25">
      <c r="A365" s="3">
        <v>156</v>
      </c>
      <c r="B365" s="63"/>
      <c r="C365" s="31" t="str">
        <f t="shared" si="102"/>
        <v/>
      </c>
      <c r="D365" s="32" t="str">
        <f t="shared" si="104"/>
        <v/>
      </c>
      <c r="E365" s="50" t="str">
        <f t="shared" si="103"/>
        <v/>
      </c>
      <c r="F365" s="50" t="str">
        <f t="shared" si="103"/>
        <v/>
      </c>
      <c r="G365" s="50" t="str">
        <f t="shared" si="103"/>
        <v/>
      </c>
      <c r="AF365" s="13"/>
      <c r="AG365" s="14"/>
    </row>
    <row r="366" spans="1:33" hidden="1" x14ac:dyDescent="0.25">
      <c r="A366" s="3">
        <v>157</v>
      </c>
      <c r="B366" s="63"/>
      <c r="C366" s="31" t="str">
        <f t="shared" ref="C366:C382" si="105">IF(E$210="","",HLOOKUP(C$210,$B$3:$AG$204,$A366,0))</f>
        <v/>
      </c>
      <c r="D366" s="32" t="str">
        <f t="shared" si="104"/>
        <v/>
      </c>
      <c r="E366" s="50" t="str">
        <f t="shared" si="103"/>
        <v/>
      </c>
      <c r="F366" s="50" t="str">
        <f t="shared" si="103"/>
        <v/>
      </c>
      <c r="G366" s="50" t="str">
        <f t="shared" si="103"/>
        <v/>
      </c>
      <c r="AF366" s="13"/>
      <c r="AG366" s="14"/>
    </row>
    <row r="367" spans="1:33" hidden="1" x14ac:dyDescent="0.25">
      <c r="A367" s="3">
        <v>158</v>
      </c>
      <c r="B367" s="63"/>
      <c r="C367" s="31" t="str">
        <f t="shared" si="105"/>
        <v/>
      </c>
      <c r="D367" s="32" t="str">
        <f t="shared" si="104"/>
        <v/>
      </c>
      <c r="E367" s="50" t="str">
        <f t="shared" si="103"/>
        <v/>
      </c>
      <c r="F367" s="50" t="str">
        <f t="shared" si="103"/>
        <v/>
      </c>
      <c r="G367" s="50" t="str">
        <f t="shared" si="103"/>
        <v/>
      </c>
      <c r="AF367" s="13"/>
      <c r="AG367" s="14"/>
    </row>
    <row r="368" spans="1:33" hidden="1" x14ac:dyDescent="0.25">
      <c r="A368" s="3">
        <v>159</v>
      </c>
      <c r="B368" s="63"/>
      <c r="C368" s="31" t="str">
        <f t="shared" si="105"/>
        <v/>
      </c>
      <c r="D368" s="32" t="str">
        <f t="shared" si="104"/>
        <v/>
      </c>
      <c r="E368" s="50" t="str">
        <f t="shared" si="103"/>
        <v/>
      </c>
      <c r="F368" s="50" t="str">
        <f t="shared" si="103"/>
        <v/>
      </c>
      <c r="G368" s="50" t="str">
        <f t="shared" si="103"/>
        <v/>
      </c>
      <c r="AF368" s="13"/>
      <c r="AG368" s="14"/>
    </row>
    <row r="369" spans="1:33" hidden="1" x14ac:dyDescent="0.25">
      <c r="A369" s="3">
        <v>160</v>
      </c>
      <c r="B369" s="63"/>
      <c r="C369" s="31" t="str">
        <f t="shared" si="105"/>
        <v/>
      </c>
      <c r="D369" s="32" t="str">
        <f t="shared" si="104"/>
        <v/>
      </c>
      <c r="E369" s="50" t="str">
        <f t="shared" si="103"/>
        <v/>
      </c>
      <c r="F369" s="50" t="str">
        <f t="shared" si="103"/>
        <v/>
      </c>
      <c r="G369" s="50" t="str">
        <f t="shared" si="103"/>
        <v/>
      </c>
      <c r="AF369" s="13"/>
      <c r="AG369" s="14"/>
    </row>
    <row r="370" spans="1:33" hidden="1" x14ac:dyDescent="0.25">
      <c r="A370" s="3">
        <v>161</v>
      </c>
      <c r="B370" s="63"/>
      <c r="C370" s="31" t="str">
        <f t="shared" si="105"/>
        <v/>
      </c>
      <c r="D370" s="32" t="str">
        <f t="shared" si="104"/>
        <v/>
      </c>
      <c r="E370" s="50" t="str">
        <f t="shared" si="103"/>
        <v/>
      </c>
      <c r="F370" s="50" t="str">
        <f t="shared" si="103"/>
        <v/>
      </c>
      <c r="G370" s="50" t="str">
        <f t="shared" si="103"/>
        <v/>
      </c>
      <c r="AF370" s="13"/>
      <c r="AG370" s="14"/>
    </row>
    <row r="371" spans="1:33" hidden="1" x14ac:dyDescent="0.25">
      <c r="A371" s="3">
        <v>162</v>
      </c>
      <c r="B371" s="63"/>
      <c r="C371" s="31" t="str">
        <f t="shared" si="105"/>
        <v/>
      </c>
      <c r="D371" s="32" t="str">
        <f t="shared" si="104"/>
        <v/>
      </c>
      <c r="E371" s="50" t="str">
        <f t="shared" si="103"/>
        <v/>
      </c>
      <c r="F371" s="50" t="str">
        <f t="shared" si="103"/>
        <v/>
      </c>
      <c r="G371" s="50" t="str">
        <f t="shared" si="103"/>
        <v/>
      </c>
      <c r="AF371" s="13"/>
      <c r="AG371" s="14"/>
    </row>
    <row r="372" spans="1:33" hidden="1" x14ac:dyDescent="0.25">
      <c r="A372" s="3">
        <v>163</v>
      </c>
      <c r="B372" s="63"/>
      <c r="C372" s="31" t="str">
        <f t="shared" si="105"/>
        <v/>
      </c>
      <c r="D372" s="32" t="str">
        <f t="shared" si="104"/>
        <v/>
      </c>
      <c r="E372" s="50" t="str">
        <f t="shared" si="103"/>
        <v/>
      </c>
      <c r="F372" s="50" t="str">
        <f t="shared" si="103"/>
        <v/>
      </c>
      <c r="G372" s="50" t="str">
        <f t="shared" si="103"/>
        <v/>
      </c>
      <c r="AF372" s="13"/>
      <c r="AG372" s="14"/>
    </row>
    <row r="373" spans="1:33" hidden="1" x14ac:dyDescent="0.25">
      <c r="A373" s="3">
        <v>164</v>
      </c>
      <c r="B373" s="63"/>
      <c r="C373" s="31" t="str">
        <f t="shared" si="105"/>
        <v/>
      </c>
      <c r="D373" s="32" t="str">
        <f t="shared" si="104"/>
        <v/>
      </c>
      <c r="E373" s="50" t="str">
        <f t="shared" si="103"/>
        <v/>
      </c>
      <c r="F373" s="50" t="str">
        <f t="shared" si="103"/>
        <v/>
      </c>
      <c r="G373" s="50" t="str">
        <f t="shared" si="103"/>
        <v/>
      </c>
      <c r="AF373" s="13"/>
      <c r="AG373" s="14"/>
    </row>
    <row r="374" spans="1:33" hidden="1" x14ac:dyDescent="0.25">
      <c r="A374" s="3">
        <v>165</v>
      </c>
      <c r="B374" s="63"/>
      <c r="C374" s="31" t="str">
        <f t="shared" si="105"/>
        <v/>
      </c>
      <c r="D374" s="32" t="str">
        <f t="shared" si="104"/>
        <v/>
      </c>
      <c r="E374" s="50" t="str">
        <f t="shared" si="103"/>
        <v/>
      </c>
      <c r="F374" s="50" t="str">
        <f t="shared" si="103"/>
        <v/>
      </c>
      <c r="G374" s="50" t="str">
        <f t="shared" si="103"/>
        <v/>
      </c>
      <c r="AF374" s="13"/>
      <c r="AG374" s="14"/>
    </row>
    <row r="375" spans="1:33" hidden="1" x14ac:dyDescent="0.25">
      <c r="A375" s="3">
        <v>166</v>
      </c>
      <c r="B375" s="63"/>
      <c r="C375" s="31" t="str">
        <f t="shared" si="105"/>
        <v/>
      </c>
      <c r="D375" s="32" t="str">
        <f t="shared" si="104"/>
        <v/>
      </c>
      <c r="E375" s="50" t="str">
        <f t="shared" si="103"/>
        <v/>
      </c>
      <c r="F375" s="50" t="str">
        <f t="shared" si="103"/>
        <v/>
      </c>
      <c r="G375" s="50" t="str">
        <f t="shared" si="103"/>
        <v/>
      </c>
      <c r="AF375" s="13"/>
      <c r="AG375" s="14"/>
    </row>
    <row r="376" spans="1:33" hidden="1" x14ac:dyDescent="0.25">
      <c r="A376" s="3">
        <v>167</v>
      </c>
      <c r="B376" s="63"/>
      <c r="C376" s="31" t="str">
        <f t="shared" si="105"/>
        <v/>
      </c>
      <c r="D376" s="32" t="str">
        <f t="shared" si="104"/>
        <v/>
      </c>
      <c r="E376" s="50" t="str">
        <f t="shared" si="103"/>
        <v/>
      </c>
      <c r="F376" s="50" t="str">
        <f t="shared" si="103"/>
        <v/>
      </c>
      <c r="G376" s="50" t="str">
        <f t="shared" si="103"/>
        <v/>
      </c>
      <c r="AF376" s="13"/>
      <c r="AG376" s="14"/>
    </row>
    <row r="377" spans="1:33" hidden="1" x14ac:dyDescent="0.25">
      <c r="A377" s="3">
        <v>168</v>
      </c>
      <c r="B377" s="63"/>
      <c r="C377" s="31" t="str">
        <f t="shared" si="105"/>
        <v/>
      </c>
      <c r="D377" s="32" t="str">
        <f t="shared" si="104"/>
        <v/>
      </c>
      <c r="E377" s="50" t="str">
        <f t="shared" si="103"/>
        <v/>
      </c>
      <c r="F377" s="50" t="str">
        <f t="shared" si="103"/>
        <v/>
      </c>
      <c r="G377" s="50" t="str">
        <f t="shared" si="103"/>
        <v/>
      </c>
      <c r="AF377" s="13"/>
      <c r="AG377" s="14"/>
    </row>
    <row r="378" spans="1:33" hidden="1" x14ac:dyDescent="0.25">
      <c r="A378" s="3">
        <v>169</v>
      </c>
      <c r="B378" s="63"/>
      <c r="C378" s="31" t="str">
        <f t="shared" si="105"/>
        <v/>
      </c>
      <c r="D378" s="32" t="str">
        <f t="shared" si="104"/>
        <v/>
      </c>
      <c r="E378" s="50" t="str">
        <f t="shared" si="103"/>
        <v/>
      </c>
      <c r="F378" s="50" t="str">
        <f t="shared" si="103"/>
        <v/>
      </c>
      <c r="G378" s="50" t="str">
        <f t="shared" si="103"/>
        <v/>
      </c>
      <c r="AF378" s="13"/>
      <c r="AG378" s="14"/>
    </row>
    <row r="379" spans="1:33" hidden="1" x14ac:dyDescent="0.25">
      <c r="A379" s="3">
        <v>170</v>
      </c>
      <c r="B379" s="63"/>
      <c r="C379" s="31" t="str">
        <f t="shared" si="105"/>
        <v/>
      </c>
      <c r="D379" s="32" t="str">
        <f t="shared" si="104"/>
        <v/>
      </c>
      <c r="E379" s="50" t="str">
        <f t="shared" ref="E379:G394" si="106">IF(E$210="","",HLOOKUP(E$210,$B$3:$AG$204,$A379,0))</f>
        <v/>
      </c>
      <c r="F379" s="50" t="str">
        <f t="shared" si="106"/>
        <v/>
      </c>
      <c r="G379" s="50" t="str">
        <f t="shared" si="106"/>
        <v/>
      </c>
      <c r="AF379" s="13"/>
      <c r="AG379" s="14"/>
    </row>
    <row r="380" spans="1:33" hidden="1" x14ac:dyDescent="0.25">
      <c r="A380" s="3">
        <v>171</v>
      </c>
      <c r="B380" s="63"/>
      <c r="C380" s="31" t="str">
        <f t="shared" si="105"/>
        <v/>
      </c>
      <c r="D380" s="32" t="str">
        <f t="shared" si="104"/>
        <v/>
      </c>
      <c r="E380" s="50" t="str">
        <f t="shared" si="106"/>
        <v/>
      </c>
      <c r="F380" s="50" t="str">
        <f t="shared" si="106"/>
        <v/>
      </c>
      <c r="G380" s="50" t="str">
        <f t="shared" si="106"/>
        <v/>
      </c>
      <c r="AF380" s="13"/>
      <c r="AG380" s="14"/>
    </row>
    <row r="381" spans="1:33" hidden="1" x14ac:dyDescent="0.25">
      <c r="A381" s="3">
        <v>172</v>
      </c>
      <c r="B381" s="63"/>
      <c r="C381" s="31" t="str">
        <f t="shared" si="105"/>
        <v/>
      </c>
      <c r="D381" s="32" t="str">
        <f t="shared" si="104"/>
        <v/>
      </c>
      <c r="E381" s="50" t="str">
        <f t="shared" si="106"/>
        <v/>
      </c>
      <c r="F381" s="50" t="str">
        <f t="shared" si="106"/>
        <v/>
      </c>
      <c r="G381" s="50" t="str">
        <f t="shared" si="106"/>
        <v/>
      </c>
      <c r="AF381" s="13"/>
      <c r="AG381" s="14"/>
    </row>
    <row r="382" spans="1:33" hidden="1" x14ac:dyDescent="0.25">
      <c r="A382" s="3">
        <v>173</v>
      </c>
      <c r="B382" s="63"/>
      <c r="C382" s="31" t="str">
        <f t="shared" si="105"/>
        <v/>
      </c>
      <c r="D382" s="32" t="str">
        <f t="shared" si="104"/>
        <v/>
      </c>
      <c r="E382" s="50" t="str">
        <f t="shared" si="106"/>
        <v/>
      </c>
      <c r="F382" s="50" t="str">
        <f t="shared" si="106"/>
        <v/>
      </c>
      <c r="G382" s="50" t="str">
        <f t="shared" si="106"/>
        <v/>
      </c>
      <c r="AF382" s="13"/>
      <c r="AG382" s="14"/>
    </row>
    <row r="383" spans="1:33" hidden="1" x14ac:dyDescent="0.25">
      <c r="A383" s="3">
        <v>174</v>
      </c>
      <c r="B383" s="63"/>
      <c r="C383" s="31" t="str">
        <f t="shared" ref="C383:C405" si="107">IF(E$210="","",HLOOKUP(C$210,$B$3:$AG$204,$A383,0))</f>
        <v/>
      </c>
      <c r="D383" s="32" t="str">
        <f t="shared" si="104"/>
        <v/>
      </c>
      <c r="E383" s="50" t="str">
        <f t="shared" si="106"/>
        <v/>
      </c>
      <c r="F383" s="50" t="str">
        <f t="shared" si="106"/>
        <v/>
      </c>
      <c r="G383" s="50" t="str">
        <f t="shared" si="106"/>
        <v/>
      </c>
      <c r="AF383" s="13"/>
      <c r="AG383" s="14"/>
    </row>
    <row r="384" spans="1:33" hidden="1" x14ac:dyDescent="0.25">
      <c r="A384" s="3">
        <v>175</v>
      </c>
      <c r="B384" s="63"/>
      <c r="C384" s="31" t="str">
        <f t="shared" si="107"/>
        <v/>
      </c>
      <c r="D384" s="32" t="str">
        <f t="shared" si="104"/>
        <v/>
      </c>
      <c r="E384" s="50" t="str">
        <f t="shared" si="106"/>
        <v/>
      </c>
      <c r="F384" s="50" t="str">
        <f t="shared" si="106"/>
        <v/>
      </c>
      <c r="G384" s="50" t="str">
        <f t="shared" si="106"/>
        <v/>
      </c>
      <c r="AF384" s="13"/>
      <c r="AG384" s="14"/>
    </row>
    <row r="385" spans="1:33" hidden="1" x14ac:dyDescent="0.25">
      <c r="A385" s="3">
        <v>176</v>
      </c>
      <c r="B385" s="63"/>
      <c r="C385" s="31" t="str">
        <f t="shared" si="107"/>
        <v/>
      </c>
      <c r="D385" s="32" t="str">
        <f t="shared" si="104"/>
        <v/>
      </c>
      <c r="E385" s="50" t="str">
        <f t="shared" si="106"/>
        <v/>
      </c>
      <c r="F385" s="50" t="str">
        <f t="shared" si="106"/>
        <v/>
      </c>
      <c r="G385" s="50" t="str">
        <f t="shared" si="106"/>
        <v/>
      </c>
      <c r="AF385" s="13"/>
      <c r="AG385" s="14"/>
    </row>
    <row r="386" spans="1:33" hidden="1" x14ac:dyDescent="0.25">
      <c r="A386" s="3">
        <v>177</v>
      </c>
      <c r="B386" s="63"/>
      <c r="C386" s="31" t="str">
        <f t="shared" si="107"/>
        <v/>
      </c>
      <c r="D386" s="32" t="str">
        <f t="shared" si="104"/>
        <v/>
      </c>
      <c r="E386" s="50" t="str">
        <f t="shared" si="106"/>
        <v/>
      </c>
      <c r="F386" s="50" t="str">
        <f t="shared" si="106"/>
        <v/>
      </c>
      <c r="G386" s="50" t="str">
        <f t="shared" si="106"/>
        <v/>
      </c>
      <c r="AF386" s="13"/>
      <c r="AG386" s="14"/>
    </row>
    <row r="387" spans="1:33" hidden="1" x14ac:dyDescent="0.25">
      <c r="A387" s="3">
        <v>178</v>
      </c>
      <c r="B387" s="63"/>
      <c r="C387" s="31" t="str">
        <f t="shared" si="107"/>
        <v/>
      </c>
      <c r="D387" s="32" t="str">
        <f t="shared" si="104"/>
        <v/>
      </c>
      <c r="E387" s="50" t="str">
        <f t="shared" si="106"/>
        <v/>
      </c>
      <c r="F387" s="50" t="str">
        <f t="shared" si="106"/>
        <v/>
      </c>
      <c r="G387" s="50" t="str">
        <f t="shared" si="106"/>
        <v/>
      </c>
      <c r="AF387" s="13"/>
      <c r="AG387" s="14"/>
    </row>
    <row r="388" spans="1:33" hidden="1" x14ac:dyDescent="0.25">
      <c r="A388" s="3">
        <v>179</v>
      </c>
      <c r="B388" s="63"/>
      <c r="C388" s="31" t="str">
        <f t="shared" si="107"/>
        <v/>
      </c>
      <c r="D388" s="32" t="str">
        <f t="shared" si="104"/>
        <v/>
      </c>
      <c r="E388" s="50" t="str">
        <f t="shared" si="106"/>
        <v/>
      </c>
      <c r="F388" s="50" t="str">
        <f t="shared" si="106"/>
        <v/>
      </c>
      <c r="G388" s="50" t="str">
        <f t="shared" si="106"/>
        <v/>
      </c>
      <c r="AF388" s="13"/>
      <c r="AG388" s="14"/>
    </row>
    <row r="389" spans="1:33" hidden="1" x14ac:dyDescent="0.25">
      <c r="A389" s="3">
        <v>180</v>
      </c>
      <c r="B389" s="63"/>
      <c r="C389" s="31" t="str">
        <f t="shared" si="107"/>
        <v/>
      </c>
      <c r="D389" s="32" t="str">
        <f t="shared" si="104"/>
        <v/>
      </c>
      <c r="E389" s="50" t="str">
        <f t="shared" si="106"/>
        <v/>
      </c>
      <c r="F389" s="50" t="str">
        <f t="shared" si="106"/>
        <v/>
      </c>
      <c r="G389" s="50" t="str">
        <f t="shared" si="106"/>
        <v/>
      </c>
      <c r="AF389" s="13"/>
      <c r="AG389" s="14"/>
    </row>
    <row r="390" spans="1:33" hidden="1" x14ac:dyDescent="0.25">
      <c r="A390" s="3">
        <v>181</v>
      </c>
      <c r="B390" s="63"/>
      <c r="C390" s="31" t="str">
        <f t="shared" si="107"/>
        <v/>
      </c>
      <c r="D390" s="32" t="str">
        <f t="shared" si="104"/>
        <v/>
      </c>
      <c r="E390" s="50" t="str">
        <f t="shared" si="106"/>
        <v/>
      </c>
      <c r="F390" s="50" t="str">
        <f t="shared" si="106"/>
        <v/>
      </c>
      <c r="G390" s="50" t="str">
        <f t="shared" si="106"/>
        <v/>
      </c>
      <c r="AF390" s="13"/>
      <c r="AG390" s="14"/>
    </row>
    <row r="391" spans="1:33" hidden="1" x14ac:dyDescent="0.25">
      <c r="A391" s="3">
        <v>182</v>
      </c>
      <c r="B391" s="63"/>
      <c r="C391" s="31" t="str">
        <f t="shared" si="107"/>
        <v/>
      </c>
      <c r="D391" s="32" t="str">
        <f t="shared" si="104"/>
        <v/>
      </c>
      <c r="E391" s="50" t="str">
        <f t="shared" si="106"/>
        <v/>
      </c>
      <c r="F391" s="50" t="str">
        <f t="shared" si="106"/>
        <v/>
      </c>
      <c r="G391" s="50" t="str">
        <f t="shared" si="106"/>
        <v/>
      </c>
      <c r="AF391" s="13"/>
      <c r="AG391" s="14"/>
    </row>
    <row r="392" spans="1:33" hidden="1" x14ac:dyDescent="0.25">
      <c r="A392" s="3">
        <v>183</v>
      </c>
      <c r="B392" s="63"/>
      <c r="C392" s="31" t="str">
        <f t="shared" si="107"/>
        <v/>
      </c>
      <c r="D392" s="32" t="str">
        <f t="shared" si="104"/>
        <v/>
      </c>
      <c r="E392" s="50" t="str">
        <f t="shared" si="106"/>
        <v/>
      </c>
      <c r="F392" s="50" t="str">
        <f t="shared" si="106"/>
        <v/>
      </c>
      <c r="G392" s="50" t="str">
        <f t="shared" si="106"/>
        <v/>
      </c>
      <c r="AF392" s="13"/>
      <c r="AG392" s="14"/>
    </row>
    <row r="393" spans="1:33" hidden="1" x14ac:dyDescent="0.25">
      <c r="A393" s="3">
        <v>184</v>
      </c>
      <c r="B393" s="63"/>
      <c r="C393" s="31" t="str">
        <f t="shared" si="107"/>
        <v/>
      </c>
      <c r="D393" s="32" t="str">
        <f t="shared" si="104"/>
        <v/>
      </c>
      <c r="E393" s="50" t="str">
        <f t="shared" si="106"/>
        <v/>
      </c>
      <c r="F393" s="50" t="str">
        <f t="shared" si="106"/>
        <v/>
      </c>
      <c r="G393" s="50" t="str">
        <f t="shared" si="106"/>
        <v/>
      </c>
      <c r="AF393" s="13"/>
      <c r="AG393" s="14"/>
    </row>
    <row r="394" spans="1:33" hidden="1" x14ac:dyDescent="0.25">
      <c r="A394" s="3">
        <v>185</v>
      </c>
      <c r="B394" s="63"/>
      <c r="C394" s="31" t="str">
        <f t="shared" si="107"/>
        <v/>
      </c>
      <c r="D394" s="32" t="str">
        <f t="shared" si="104"/>
        <v/>
      </c>
      <c r="E394" s="50" t="str">
        <f t="shared" si="106"/>
        <v/>
      </c>
      <c r="F394" s="50" t="str">
        <f t="shared" si="106"/>
        <v/>
      </c>
      <c r="G394" s="50" t="str">
        <f t="shared" si="106"/>
        <v/>
      </c>
      <c r="AF394" s="13"/>
      <c r="AG394" s="14"/>
    </row>
    <row r="395" spans="1:33" hidden="1" x14ac:dyDescent="0.25">
      <c r="A395" s="3">
        <v>186</v>
      </c>
      <c r="B395" s="63"/>
      <c r="C395" s="31" t="str">
        <f t="shared" si="107"/>
        <v/>
      </c>
      <c r="D395" s="32" t="str">
        <f t="shared" si="104"/>
        <v/>
      </c>
      <c r="E395" s="50" t="str">
        <f t="shared" ref="E395:G411" si="108">IF(E$210="","",HLOOKUP(E$210,$B$3:$AG$204,$A395,0))</f>
        <v/>
      </c>
      <c r="F395" s="50" t="str">
        <f t="shared" si="108"/>
        <v/>
      </c>
      <c r="G395" s="50" t="str">
        <f t="shared" si="108"/>
        <v/>
      </c>
      <c r="AF395" s="13"/>
      <c r="AG395" s="14"/>
    </row>
    <row r="396" spans="1:33" hidden="1" x14ac:dyDescent="0.25">
      <c r="A396" s="3">
        <v>187</v>
      </c>
      <c r="B396" s="63"/>
      <c r="C396" s="31" t="str">
        <f t="shared" si="107"/>
        <v/>
      </c>
      <c r="D396" s="32" t="str">
        <f t="shared" si="104"/>
        <v/>
      </c>
      <c r="E396" s="50" t="str">
        <f t="shared" si="108"/>
        <v/>
      </c>
      <c r="F396" s="50" t="str">
        <f t="shared" si="108"/>
        <v/>
      </c>
      <c r="G396" s="50" t="str">
        <f t="shared" si="108"/>
        <v/>
      </c>
      <c r="AF396" s="13"/>
      <c r="AG396" s="14"/>
    </row>
    <row r="397" spans="1:33" hidden="1" x14ac:dyDescent="0.25">
      <c r="A397" s="3">
        <v>188</v>
      </c>
      <c r="B397" s="63"/>
      <c r="C397" s="31" t="str">
        <f t="shared" si="107"/>
        <v/>
      </c>
      <c r="D397" s="32" t="str">
        <f t="shared" si="104"/>
        <v/>
      </c>
      <c r="E397" s="50" t="str">
        <f t="shared" si="108"/>
        <v/>
      </c>
      <c r="F397" s="50" t="str">
        <f t="shared" si="108"/>
        <v/>
      </c>
      <c r="G397" s="50" t="str">
        <f t="shared" si="108"/>
        <v/>
      </c>
      <c r="AF397" s="13"/>
      <c r="AG397" s="14"/>
    </row>
    <row r="398" spans="1:33" hidden="1" x14ac:dyDescent="0.25">
      <c r="A398" s="3">
        <v>189</v>
      </c>
      <c r="B398" s="63"/>
      <c r="C398" s="31" t="str">
        <f t="shared" si="107"/>
        <v/>
      </c>
      <c r="D398" s="32" t="str">
        <f t="shared" si="104"/>
        <v/>
      </c>
      <c r="E398" s="50" t="str">
        <f t="shared" si="108"/>
        <v/>
      </c>
      <c r="F398" s="50" t="str">
        <f t="shared" si="108"/>
        <v/>
      </c>
      <c r="G398" s="50" t="str">
        <f t="shared" si="108"/>
        <v/>
      </c>
      <c r="AF398" s="13"/>
      <c r="AG398" s="14"/>
    </row>
    <row r="399" spans="1:33" hidden="1" x14ac:dyDescent="0.25">
      <c r="A399" s="3">
        <v>190</v>
      </c>
      <c r="B399" s="63"/>
      <c r="C399" s="31" t="str">
        <f t="shared" si="107"/>
        <v/>
      </c>
      <c r="D399" s="32" t="str">
        <f t="shared" si="104"/>
        <v/>
      </c>
      <c r="E399" s="50" t="str">
        <f t="shared" si="108"/>
        <v/>
      </c>
      <c r="F399" s="50" t="str">
        <f t="shared" si="108"/>
        <v/>
      </c>
      <c r="G399" s="50" t="str">
        <f t="shared" si="108"/>
        <v/>
      </c>
      <c r="AF399" s="13"/>
      <c r="AG399" s="14"/>
    </row>
    <row r="400" spans="1:33" hidden="1" x14ac:dyDescent="0.25">
      <c r="A400" s="3">
        <v>191</v>
      </c>
      <c r="B400" s="63"/>
      <c r="C400" s="31" t="str">
        <f t="shared" si="107"/>
        <v/>
      </c>
      <c r="D400" s="32" t="str">
        <f t="shared" si="104"/>
        <v/>
      </c>
      <c r="E400" s="50" t="str">
        <f t="shared" si="108"/>
        <v/>
      </c>
      <c r="F400" s="50" t="str">
        <f t="shared" si="108"/>
        <v/>
      </c>
      <c r="G400" s="50" t="str">
        <f t="shared" si="108"/>
        <v/>
      </c>
      <c r="AF400" s="13"/>
      <c r="AG400" s="14"/>
    </row>
    <row r="401" spans="1:33" hidden="1" x14ac:dyDescent="0.25">
      <c r="A401" s="3">
        <v>192</v>
      </c>
      <c r="B401" s="63"/>
      <c r="C401" s="31" t="str">
        <f t="shared" si="107"/>
        <v/>
      </c>
      <c r="D401" s="32" t="str">
        <f t="shared" si="104"/>
        <v/>
      </c>
      <c r="E401" s="50" t="str">
        <f t="shared" si="108"/>
        <v/>
      </c>
      <c r="F401" s="50" t="str">
        <f t="shared" si="108"/>
        <v/>
      </c>
      <c r="G401" s="50" t="str">
        <f t="shared" si="108"/>
        <v/>
      </c>
      <c r="AF401" s="13"/>
      <c r="AG401" s="14"/>
    </row>
    <row r="402" spans="1:33" hidden="1" x14ac:dyDescent="0.25">
      <c r="A402" s="3">
        <v>193</v>
      </c>
      <c r="B402" s="63"/>
      <c r="C402" s="31" t="str">
        <f t="shared" si="107"/>
        <v/>
      </c>
      <c r="D402" s="32" t="str">
        <f t="shared" si="104"/>
        <v/>
      </c>
      <c r="E402" s="50" t="str">
        <f t="shared" si="108"/>
        <v/>
      </c>
      <c r="F402" s="50" t="str">
        <f t="shared" si="108"/>
        <v/>
      </c>
      <c r="G402" s="50" t="str">
        <f t="shared" si="108"/>
        <v/>
      </c>
      <c r="AF402" s="13"/>
      <c r="AG402" s="14"/>
    </row>
    <row r="403" spans="1:33" hidden="1" x14ac:dyDescent="0.25">
      <c r="A403" s="3">
        <v>194</v>
      </c>
      <c r="B403" s="63"/>
      <c r="C403" s="31" t="str">
        <f t="shared" si="107"/>
        <v/>
      </c>
      <c r="D403" s="32" t="str">
        <f t="shared" si="104"/>
        <v/>
      </c>
      <c r="E403" s="50" t="str">
        <f t="shared" si="108"/>
        <v/>
      </c>
      <c r="F403" s="50" t="str">
        <f t="shared" si="108"/>
        <v/>
      </c>
      <c r="G403" s="50" t="str">
        <f t="shared" si="108"/>
        <v/>
      </c>
      <c r="AF403" s="13"/>
      <c r="AG403" s="14"/>
    </row>
    <row r="404" spans="1:33" hidden="1" x14ac:dyDescent="0.25">
      <c r="A404" s="3">
        <v>195</v>
      </c>
      <c r="B404" s="63"/>
      <c r="C404" s="31" t="str">
        <f t="shared" si="107"/>
        <v/>
      </c>
      <c r="D404" s="32" t="str">
        <f t="shared" si="104"/>
        <v/>
      </c>
      <c r="E404" s="50" t="str">
        <f t="shared" si="108"/>
        <v/>
      </c>
      <c r="F404" s="50" t="str">
        <f t="shared" si="108"/>
        <v/>
      </c>
      <c r="G404" s="50" t="str">
        <f t="shared" si="108"/>
        <v/>
      </c>
      <c r="AF404" s="13"/>
      <c r="AG404" s="14"/>
    </row>
    <row r="405" spans="1:33" hidden="1" x14ac:dyDescent="0.25">
      <c r="A405" s="3">
        <v>196</v>
      </c>
      <c r="B405" s="63"/>
      <c r="C405" s="31" t="str">
        <f t="shared" si="107"/>
        <v/>
      </c>
      <c r="D405" s="32" t="str">
        <f t="shared" ref="D405:D411" si="109">IF(E$210="","",HLOOKUP(D$210,$B$3:$AG$204,$A405,0))</f>
        <v/>
      </c>
      <c r="E405" s="50" t="str">
        <f t="shared" si="108"/>
        <v/>
      </c>
      <c r="F405" s="50" t="str">
        <f t="shared" si="108"/>
        <v/>
      </c>
      <c r="G405" s="50" t="str">
        <f t="shared" si="108"/>
        <v/>
      </c>
      <c r="AF405" s="13"/>
      <c r="AG405" s="14"/>
    </row>
    <row r="406" spans="1:33" hidden="1" x14ac:dyDescent="0.25">
      <c r="A406" s="3">
        <v>197</v>
      </c>
      <c r="B406" s="63"/>
      <c r="C406" s="31" t="str">
        <f t="shared" ref="C406:C408" si="110">IF(E$210="","",HLOOKUP(C$210,$B$3:$AG$204,$A406,0))</f>
        <v/>
      </c>
      <c r="D406" s="32" t="str">
        <f t="shared" si="109"/>
        <v/>
      </c>
      <c r="E406" s="50" t="str">
        <f t="shared" si="108"/>
        <v/>
      </c>
      <c r="F406" s="50" t="str">
        <f t="shared" si="108"/>
        <v/>
      </c>
      <c r="G406" s="50" t="str">
        <f t="shared" si="108"/>
        <v/>
      </c>
      <c r="AF406" s="13"/>
      <c r="AG406" s="14"/>
    </row>
    <row r="407" spans="1:33" hidden="1" x14ac:dyDescent="0.25">
      <c r="A407" s="3">
        <v>198</v>
      </c>
      <c r="B407" s="63"/>
      <c r="C407" s="31" t="str">
        <f t="shared" si="110"/>
        <v/>
      </c>
      <c r="D407" s="32" t="str">
        <f t="shared" si="109"/>
        <v/>
      </c>
      <c r="E407" s="50" t="str">
        <f t="shared" si="108"/>
        <v/>
      </c>
      <c r="F407" s="50" t="str">
        <f t="shared" si="108"/>
        <v/>
      </c>
      <c r="G407" s="50" t="str">
        <f t="shared" si="108"/>
        <v/>
      </c>
      <c r="AF407" s="13"/>
      <c r="AG407" s="14"/>
    </row>
    <row r="408" spans="1:33" hidden="1" x14ac:dyDescent="0.25">
      <c r="A408" s="3">
        <v>199</v>
      </c>
      <c r="B408" s="63"/>
      <c r="C408" s="31" t="str">
        <f t="shared" si="110"/>
        <v/>
      </c>
      <c r="D408" s="32" t="str">
        <f t="shared" si="109"/>
        <v/>
      </c>
      <c r="E408" s="50" t="str">
        <f t="shared" si="108"/>
        <v/>
      </c>
      <c r="F408" s="50" t="str">
        <f t="shared" si="108"/>
        <v/>
      </c>
      <c r="G408" s="50" t="str">
        <f t="shared" si="108"/>
        <v/>
      </c>
      <c r="AF408" s="13"/>
      <c r="AG408" s="14"/>
    </row>
    <row r="409" spans="1:33" hidden="1" x14ac:dyDescent="0.25">
      <c r="A409" s="3">
        <v>200</v>
      </c>
      <c r="B409" s="63"/>
      <c r="C409" s="31" t="str">
        <f t="shared" ref="C409:C410" si="111">IF(E$210="","",HLOOKUP(C$210,$B$3:$AG$204,$A409,0))</f>
        <v/>
      </c>
      <c r="D409" s="32" t="str">
        <f t="shared" si="109"/>
        <v/>
      </c>
      <c r="E409" s="50" t="str">
        <f t="shared" si="108"/>
        <v/>
      </c>
      <c r="F409" s="50" t="str">
        <f t="shared" si="108"/>
        <v/>
      </c>
      <c r="G409" s="50" t="str">
        <f t="shared" si="108"/>
        <v/>
      </c>
      <c r="AF409" s="13"/>
      <c r="AG409" s="14"/>
    </row>
    <row r="410" spans="1:33" hidden="1" x14ac:dyDescent="0.25">
      <c r="A410" s="3">
        <v>201</v>
      </c>
      <c r="B410" s="63"/>
      <c r="C410" s="31" t="str">
        <f t="shared" si="111"/>
        <v/>
      </c>
      <c r="D410" s="32" t="str">
        <f t="shared" si="109"/>
        <v/>
      </c>
      <c r="E410" s="50" t="str">
        <f t="shared" si="108"/>
        <v/>
      </c>
      <c r="F410" s="50" t="str">
        <f t="shared" si="108"/>
        <v/>
      </c>
      <c r="G410" s="50" t="str">
        <f t="shared" si="108"/>
        <v/>
      </c>
      <c r="AF410" s="13"/>
      <c r="AG410" s="14"/>
    </row>
    <row r="411" spans="1:33" hidden="1" x14ac:dyDescent="0.25">
      <c r="A411" s="3">
        <v>202</v>
      </c>
      <c r="B411" s="63"/>
      <c r="C411" s="31" t="str">
        <f t="shared" ref="C411" si="112">IF(E$210="","",HLOOKUP(C$210,$B$3:$AG$204,$A411,0))</f>
        <v/>
      </c>
      <c r="D411" s="32" t="str">
        <f t="shared" si="109"/>
        <v/>
      </c>
      <c r="E411" s="50" t="str">
        <f t="shared" si="108"/>
        <v/>
      </c>
      <c r="F411" s="50" t="str">
        <f t="shared" si="108"/>
        <v/>
      </c>
      <c r="G411" s="50" t="str">
        <f t="shared" si="108"/>
        <v/>
      </c>
      <c r="AF411" s="13"/>
      <c r="AG411" s="14"/>
    </row>
    <row r="412" spans="1:33" x14ac:dyDescent="0.25">
      <c r="AF412" s="13"/>
      <c r="AG412" s="14"/>
    </row>
    <row r="413" spans="1:33" x14ac:dyDescent="0.25">
      <c r="AF413" s="13"/>
      <c r="AG413" s="14"/>
    </row>
    <row r="414" spans="1:33" x14ac:dyDescent="0.25">
      <c r="B414" s="145" t="str">
        <f>+CONCATENATE("INCIDENZA DELLE DONNE LAUREATE PER TIPOLOGIA DI INDIRIZZO ","(",$D$246,")")</f>
        <v>INCIDENZA DELLE DONNE LAUREATE PER TIPOLOGIA DI INDIRIZZO ()</v>
      </c>
      <c r="C414" s="154">
        <f>+E210</f>
        <v>0</v>
      </c>
      <c r="D414" s="3"/>
      <c r="F414" s="154" t="str">
        <f>+F210</f>
        <v/>
      </c>
      <c r="I414" s="154" t="str">
        <f>+G210</f>
        <v/>
      </c>
      <c r="AF414" s="13"/>
      <c r="AG414" s="14"/>
    </row>
    <row r="415" spans="1:33" x14ac:dyDescent="0.25">
      <c r="B415" s="145" t="s">
        <v>152</v>
      </c>
      <c r="C415" s="156" t="e">
        <f>+E258/100</f>
        <v>#VALUE!</v>
      </c>
      <c r="D415" s="3"/>
      <c r="E415" s="145" t="s">
        <v>152</v>
      </c>
      <c r="F415" s="156" t="e">
        <f>+F258/100</f>
        <v>#VALUE!</v>
      </c>
      <c r="H415" s="145" t="s">
        <v>152</v>
      </c>
      <c r="I415" s="156" t="e">
        <f>+G258/100</f>
        <v>#VALUE!</v>
      </c>
      <c r="AF415" s="13"/>
      <c r="AG415" s="14"/>
    </row>
    <row r="416" spans="1:33" x14ac:dyDescent="0.25">
      <c r="B416" s="145" t="s">
        <v>151</v>
      </c>
      <c r="C416" s="156" t="e">
        <f>+E257/100</f>
        <v>#VALUE!</v>
      </c>
      <c r="D416" s="3"/>
      <c r="E416" s="145" t="s">
        <v>151</v>
      </c>
      <c r="F416" s="156" t="e">
        <f>+F257/100</f>
        <v>#VALUE!</v>
      </c>
      <c r="H416" s="145" t="s">
        <v>151</v>
      </c>
      <c r="I416" s="156" t="e">
        <f>+G257/100</f>
        <v>#VALUE!</v>
      </c>
      <c r="AF416" s="13"/>
      <c r="AG416" s="14"/>
    </row>
    <row r="417" spans="2:33" x14ac:dyDescent="0.25">
      <c r="B417" s="145" t="s">
        <v>150</v>
      </c>
      <c r="C417" s="156" t="e">
        <f>+E259/100</f>
        <v>#VALUE!</v>
      </c>
      <c r="D417" s="3"/>
      <c r="E417" s="145" t="s">
        <v>150</v>
      </c>
      <c r="F417" s="156" t="e">
        <f>+F259/100</f>
        <v>#VALUE!</v>
      </c>
      <c r="H417" s="145" t="s">
        <v>150</v>
      </c>
      <c r="I417" s="156" t="e">
        <f>+G259/100</f>
        <v>#VALUE!</v>
      </c>
      <c r="AF417" s="13"/>
      <c r="AG417" s="14"/>
    </row>
    <row r="418" spans="2:33" x14ac:dyDescent="0.25">
      <c r="B418" s="145" t="s">
        <v>149</v>
      </c>
      <c r="C418" s="156" t="e">
        <f>+E256/100</f>
        <v>#VALUE!</v>
      </c>
      <c r="D418" s="3"/>
      <c r="E418" s="145" t="s">
        <v>149</v>
      </c>
      <c r="F418" s="156" t="e">
        <f>+F256/100</f>
        <v>#VALUE!</v>
      </c>
      <c r="H418" s="145" t="s">
        <v>149</v>
      </c>
      <c r="I418" s="156" t="e">
        <f>+G256/100</f>
        <v>#VALUE!</v>
      </c>
      <c r="AF418" s="13"/>
      <c r="AG418" s="14"/>
    </row>
    <row r="419" spans="2:33" x14ac:dyDescent="0.25">
      <c r="B419" s="145" t="s">
        <v>141</v>
      </c>
      <c r="C419" s="156" t="e">
        <f>+E248/100</f>
        <v>#VALUE!</v>
      </c>
      <c r="D419" s="3"/>
      <c r="E419" s="145" t="s">
        <v>141</v>
      </c>
      <c r="F419" s="156" t="e">
        <f>+F248/100</f>
        <v>#VALUE!</v>
      </c>
      <c r="H419" s="145" t="s">
        <v>141</v>
      </c>
      <c r="I419" s="156" t="e">
        <f>+G248/100</f>
        <v>#VALUE!</v>
      </c>
      <c r="AF419" s="13"/>
      <c r="AG419" s="14"/>
    </row>
    <row r="420" spans="2:33" x14ac:dyDescent="0.25">
      <c r="B420" s="145" t="s">
        <v>142</v>
      </c>
      <c r="C420" s="156" t="e">
        <f>+E249/100</f>
        <v>#VALUE!</v>
      </c>
      <c r="D420" s="3"/>
      <c r="E420" s="145" t="s">
        <v>142</v>
      </c>
      <c r="F420" s="156" t="e">
        <f>+F249/100</f>
        <v>#VALUE!</v>
      </c>
      <c r="H420" s="145" t="s">
        <v>142</v>
      </c>
      <c r="I420" s="156" t="e">
        <f>+G249/100</f>
        <v>#VALUE!</v>
      </c>
      <c r="AF420" s="13"/>
      <c r="AG420" s="14"/>
    </row>
    <row r="421" spans="2:33" x14ac:dyDescent="0.25">
      <c r="B421" s="145" t="s">
        <v>140</v>
      </c>
      <c r="C421" s="156" t="e">
        <f>+E247/100</f>
        <v>#VALUE!</v>
      </c>
      <c r="D421" s="3"/>
      <c r="E421" s="145" t="s">
        <v>140</v>
      </c>
      <c r="F421" s="156" t="e">
        <f>+F247/100</f>
        <v>#VALUE!</v>
      </c>
      <c r="H421" s="145" t="s">
        <v>140</v>
      </c>
      <c r="I421" s="156" t="e">
        <f>+G247/100</f>
        <v>#VALUE!</v>
      </c>
      <c r="AF421" s="13"/>
      <c r="AG421" s="14"/>
    </row>
    <row r="422" spans="2:33" x14ac:dyDescent="0.25">
      <c r="B422" s="145" t="s">
        <v>148</v>
      </c>
      <c r="C422" s="156" t="e">
        <f>+E255/100</f>
        <v>#VALUE!</v>
      </c>
      <c r="D422" s="3"/>
      <c r="E422" s="145" t="s">
        <v>148</v>
      </c>
      <c r="F422" s="156" t="e">
        <f>+F255/100</f>
        <v>#VALUE!</v>
      </c>
      <c r="H422" s="145" t="s">
        <v>148</v>
      </c>
      <c r="I422" s="156" t="e">
        <f>+G255/100</f>
        <v>#VALUE!</v>
      </c>
      <c r="AF422" s="13"/>
      <c r="AG422" s="14"/>
    </row>
    <row r="423" spans="2:33" x14ac:dyDescent="0.25">
      <c r="B423" s="145" t="s">
        <v>147</v>
      </c>
      <c r="C423" s="156" t="e">
        <f>+E254/100</f>
        <v>#VALUE!</v>
      </c>
      <c r="D423" s="3"/>
      <c r="E423" s="145" t="s">
        <v>147</v>
      </c>
      <c r="F423" s="156" t="e">
        <f>+F254/100</f>
        <v>#VALUE!</v>
      </c>
      <c r="H423" s="145" t="s">
        <v>147</v>
      </c>
      <c r="I423" s="156" t="e">
        <f>+G254/100</f>
        <v>#VALUE!</v>
      </c>
      <c r="AF423" s="13"/>
      <c r="AG423" s="14"/>
    </row>
    <row r="424" spans="2:33" x14ac:dyDescent="0.25">
      <c r="B424" s="145" t="s">
        <v>144</v>
      </c>
      <c r="C424" s="156" t="e">
        <f>+E251/100</f>
        <v>#VALUE!</v>
      </c>
      <c r="D424" s="3"/>
      <c r="E424" s="145" t="s">
        <v>144</v>
      </c>
      <c r="F424" s="156" t="e">
        <f>+F251/100</f>
        <v>#VALUE!</v>
      </c>
      <c r="H424" s="145" t="s">
        <v>144</v>
      </c>
      <c r="I424" s="156" t="e">
        <f>+G251/100</f>
        <v>#VALUE!</v>
      </c>
      <c r="AF424" s="13"/>
      <c r="AG424" s="14"/>
    </row>
    <row r="425" spans="2:33" x14ac:dyDescent="0.25">
      <c r="B425" s="145" t="s">
        <v>146</v>
      </c>
      <c r="C425" s="156" t="e">
        <f>+E253/100</f>
        <v>#VALUE!</v>
      </c>
      <c r="D425" s="3"/>
      <c r="E425" s="145" t="s">
        <v>146</v>
      </c>
      <c r="F425" s="156" t="e">
        <f>+F253/100</f>
        <v>#VALUE!</v>
      </c>
      <c r="H425" s="145" t="s">
        <v>146</v>
      </c>
      <c r="I425" s="156" t="e">
        <f>+G253/100</f>
        <v>#VALUE!</v>
      </c>
      <c r="AF425" s="13"/>
      <c r="AG425" s="14"/>
    </row>
    <row r="426" spans="2:33" x14ac:dyDescent="0.25">
      <c r="B426" s="145" t="s">
        <v>153</v>
      </c>
      <c r="C426" s="156" t="e">
        <f>+E260/100</f>
        <v>#VALUE!</v>
      </c>
      <c r="D426" s="3"/>
      <c r="E426" s="145" t="s">
        <v>153</v>
      </c>
      <c r="F426" s="156" t="e">
        <f>+F260/100</f>
        <v>#VALUE!</v>
      </c>
      <c r="H426" s="145" t="s">
        <v>153</v>
      </c>
      <c r="I426" s="156" t="e">
        <f>+G260/100</f>
        <v>#VALUE!</v>
      </c>
      <c r="AF426" s="13"/>
      <c r="AG426" s="14"/>
    </row>
    <row r="427" spans="2:33" x14ac:dyDescent="0.25">
      <c r="B427" s="145" t="s">
        <v>145</v>
      </c>
      <c r="C427" s="156" t="e">
        <f>+E252/100</f>
        <v>#VALUE!</v>
      </c>
      <c r="D427" s="3"/>
      <c r="E427" s="145" t="s">
        <v>145</v>
      </c>
      <c r="F427" s="156" t="e">
        <f>+F252/100</f>
        <v>#VALUE!</v>
      </c>
      <c r="H427" s="145" t="s">
        <v>145</v>
      </c>
      <c r="I427" s="156" t="e">
        <f>+G252/100</f>
        <v>#VALUE!</v>
      </c>
      <c r="AF427" s="13"/>
      <c r="AG427" s="14"/>
    </row>
    <row r="428" spans="2:33" x14ac:dyDescent="0.25">
      <c r="B428" s="145" t="s">
        <v>139</v>
      </c>
      <c r="C428" s="156" t="e">
        <f>+E246/100</f>
        <v>#VALUE!</v>
      </c>
      <c r="D428" s="3"/>
      <c r="E428" s="145" t="s">
        <v>139</v>
      </c>
      <c r="F428" s="156" t="e">
        <f>+F246/100</f>
        <v>#VALUE!</v>
      </c>
      <c r="H428" s="145" t="s">
        <v>139</v>
      </c>
      <c r="I428" s="156" t="e">
        <f>+G246/100</f>
        <v>#VALUE!</v>
      </c>
      <c r="AF428" s="13"/>
      <c r="AG428" s="14"/>
    </row>
    <row r="429" spans="2:33" x14ac:dyDescent="0.25">
      <c r="B429" s="145" t="s">
        <v>143</v>
      </c>
      <c r="C429" s="156" t="e">
        <f>+E250/100</f>
        <v>#VALUE!</v>
      </c>
      <c r="D429" s="3"/>
      <c r="E429" s="145" t="s">
        <v>143</v>
      </c>
      <c r="F429" s="156" t="e">
        <f>+F250/100</f>
        <v>#VALUE!</v>
      </c>
      <c r="H429" s="145" t="s">
        <v>143</v>
      </c>
      <c r="I429" s="156" t="e">
        <f>+G250/100</f>
        <v>#VALUE!</v>
      </c>
      <c r="AF429" s="13"/>
      <c r="AG429" s="14"/>
    </row>
    <row r="430" spans="2:33" x14ac:dyDescent="0.25">
      <c r="B430" s="145" t="s">
        <v>154</v>
      </c>
      <c r="C430" s="156" t="e">
        <f>+E261/100</f>
        <v>#VALUE!</v>
      </c>
      <c r="D430" s="3"/>
      <c r="E430" s="145" t="s">
        <v>154</v>
      </c>
      <c r="F430" s="156" t="e">
        <f>+F261/100</f>
        <v>#VALUE!</v>
      </c>
      <c r="H430" s="145" t="s">
        <v>154</v>
      </c>
      <c r="I430" s="156" t="e">
        <f>+G261/100</f>
        <v>#VALUE!</v>
      </c>
      <c r="AF430" s="13"/>
      <c r="AG430" s="14"/>
    </row>
    <row r="431" spans="2:33" x14ac:dyDescent="0.25">
      <c r="C431" s="155"/>
      <c r="AF431" s="13"/>
      <c r="AG431" s="14"/>
    </row>
    <row r="432" spans="2:33" x14ac:dyDescent="0.25">
      <c r="C432" s="155"/>
      <c r="AF432" s="13"/>
      <c r="AG432" s="14"/>
    </row>
    <row r="433" spans="3:33" x14ac:dyDescent="0.25">
      <c r="C433" s="155"/>
      <c r="AF433" s="13"/>
      <c r="AG433" s="14"/>
    </row>
    <row r="434" spans="3:33" x14ac:dyDescent="0.25">
      <c r="AF434" s="13"/>
      <c r="AG434" s="14"/>
    </row>
    <row r="435" spans="3:33" x14ac:dyDescent="0.25">
      <c r="AF435" s="13"/>
      <c r="AG435" s="14"/>
    </row>
    <row r="436" spans="3:33" x14ac:dyDescent="0.25">
      <c r="AF436" s="13"/>
      <c r="AG436" s="14"/>
    </row>
    <row r="437" spans="3:33" x14ac:dyDescent="0.25">
      <c r="AF437" s="13"/>
      <c r="AG437" s="14"/>
    </row>
    <row r="438" spans="3:33" x14ac:dyDescent="0.25">
      <c r="AF438" s="13"/>
      <c r="AG438" s="14"/>
    </row>
    <row r="439" spans="3:33" x14ac:dyDescent="0.25">
      <c r="AF439" s="13"/>
      <c r="AG439" s="14"/>
    </row>
    <row r="440" spans="3:33" x14ac:dyDescent="0.25">
      <c r="AF440" s="13"/>
      <c r="AG440" s="14"/>
    </row>
    <row r="441" spans="3:33" x14ac:dyDescent="0.25">
      <c r="AF441" s="13"/>
      <c r="AG441" s="14"/>
    </row>
    <row r="442" spans="3:33" x14ac:dyDescent="0.25">
      <c r="AF442" s="13"/>
      <c r="AG442" s="14"/>
    </row>
    <row r="443" spans="3:33" x14ac:dyDescent="0.25">
      <c r="AF443" s="13"/>
      <c r="AG443" s="14"/>
    </row>
    <row r="444" spans="3:33" x14ac:dyDescent="0.25">
      <c r="AF444" s="13"/>
      <c r="AG444" s="14"/>
    </row>
    <row r="445" spans="3:33" x14ac:dyDescent="0.25">
      <c r="AF445" s="13"/>
      <c r="AG445" s="14"/>
    </row>
    <row r="446" spans="3:33" x14ac:dyDescent="0.25">
      <c r="AF446" s="13"/>
      <c r="AG446" s="14"/>
    </row>
    <row r="447" spans="3:33" x14ac:dyDescent="0.25">
      <c r="AF447" s="13"/>
      <c r="AG447" s="14"/>
    </row>
    <row r="448" spans="3:33" x14ac:dyDescent="0.25">
      <c r="AF448" s="13"/>
      <c r="AG448" s="14"/>
    </row>
    <row r="449" spans="32:33" x14ac:dyDescent="0.25">
      <c r="AF449" s="13"/>
      <c r="AG449" s="14"/>
    </row>
    <row r="450" spans="32:33" x14ac:dyDescent="0.25">
      <c r="AF450" s="13"/>
      <c r="AG450" s="14"/>
    </row>
    <row r="451" spans="32:33" x14ac:dyDescent="0.25">
      <c r="AF451" s="13"/>
      <c r="AG451" s="14"/>
    </row>
    <row r="452" spans="32:33" x14ac:dyDescent="0.25">
      <c r="AF452" s="13"/>
      <c r="AG452" s="14"/>
    </row>
    <row r="453" spans="32:33" x14ac:dyDescent="0.25">
      <c r="AF453" s="13"/>
      <c r="AG453" s="14"/>
    </row>
    <row r="454" spans="32:33" x14ac:dyDescent="0.25">
      <c r="AF454" s="13"/>
      <c r="AG454" s="14"/>
    </row>
    <row r="455" spans="32:33" x14ac:dyDescent="0.25">
      <c r="AF455" s="13"/>
      <c r="AG455" s="14"/>
    </row>
    <row r="456" spans="32:33" x14ac:dyDescent="0.25">
      <c r="AF456" s="13"/>
      <c r="AG456" s="14"/>
    </row>
    <row r="457" spans="32:33" x14ac:dyDescent="0.25">
      <c r="AF457" s="13"/>
      <c r="AG457" s="14"/>
    </row>
    <row r="458" spans="32:33" x14ac:dyDescent="0.25">
      <c r="AF458" s="13"/>
      <c r="AG458" s="14"/>
    </row>
    <row r="459" spans="32:33" x14ac:dyDescent="0.25">
      <c r="AF459" s="13"/>
      <c r="AG459" s="14"/>
    </row>
    <row r="460" spans="32:33" x14ac:dyDescent="0.25">
      <c r="AF460" s="13"/>
      <c r="AG460" s="14"/>
    </row>
    <row r="461" spans="32:33" x14ac:dyDescent="0.25">
      <c r="AF461" s="13"/>
      <c r="AG461" s="14"/>
    </row>
    <row r="462" spans="32:33" x14ac:dyDescent="0.25">
      <c r="AF462" s="13"/>
      <c r="AG462" s="14"/>
    </row>
    <row r="463" spans="32:33" x14ac:dyDescent="0.25">
      <c r="AF463" s="13"/>
      <c r="AG463" s="14"/>
    </row>
    <row r="464" spans="32:33" x14ac:dyDescent="0.25">
      <c r="AF464" s="13"/>
      <c r="AG464" s="14"/>
    </row>
    <row r="465" spans="32:33" x14ac:dyDescent="0.25">
      <c r="AF465" s="13"/>
      <c r="AG465" s="14"/>
    </row>
    <row r="466" spans="32:33" x14ac:dyDescent="0.25">
      <c r="AF466" s="13"/>
      <c r="AG466" s="14"/>
    </row>
    <row r="467" spans="32:33" x14ac:dyDescent="0.25">
      <c r="AF467" s="13"/>
      <c r="AG467" s="14"/>
    </row>
    <row r="468" spans="32:33" x14ac:dyDescent="0.25">
      <c r="AF468" s="13"/>
      <c r="AG468" s="14"/>
    </row>
    <row r="469" spans="32:33" x14ac:dyDescent="0.25">
      <c r="AF469" s="13"/>
      <c r="AG469" s="14"/>
    </row>
    <row r="470" spans="32:33" x14ac:dyDescent="0.25">
      <c r="AF470" s="13"/>
      <c r="AG470" s="14"/>
    </row>
    <row r="471" spans="32:33" x14ac:dyDescent="0.25">
      <c r="AF471" s="13"/>
      <c r="AG471" s="14"/>
    </row>
    <row r="472" spans="32:33" x14ac:dyDescent="0.25">
      <c r="AF472" s="13"/>
      <c r="AG472" s="14"/>
    </row>
    <row r="473" spans="32:33" x14ac:dyDescent="0.25">
      <c r="AF473" s="13"/>
      <c r="AG473" s="14"/>
    </row>
    <row r="474" spans="32:33" x14ac:dyDescent="0.25">
      <c r="AF474" s="13"/>
      <c r="AG474" s="14"/>
    </row>
    <row r="475" spans="32:33" x14ac:dyDescent="0.25">
      <c r="AF475" s="13"/>
      <c r="AG475" s="14"/>
    </row>
    <row r="476" spans="32:33" x14ac:dyDescent="0.25">
      <c r="AF476" s="13"/>
      <c r="AG476" s="14"/>
    </row>
    <row r="477" spans="32:33" x14ac:dyDescent="0.25">
      <c r="AF477" s="13"/>
      <c r="AG477" s="14"/>
    </row>
    <row r="478" spans="32:33" x14ac:dyDescent="0.25">
      <c r="AF478" s="13"/>
      <c r="AG478" s="14"/>
    </row>
    <row r="479" spans="32:33" x14ac:dyDescent="0.25">
      <c r="AF479" s="13"/>
      <c r="AG479" s="14"/>
    </row>
    <row r="480" spans="32:33" x14ac:dyDescent="0.25">
      <c r="AF480" s="13"/>
      <c r="AG480" s="14"/>
    </row>
    <row r="481" spans="32:33" x14ac:dyDescent="0.25">
      <c r="AF481" s="13"/>
      <c r="AG481" s="14"/>
    </row>
    <row r="482" spans="32:33" x14ac:dyDescent="0.25">
      <c r="AF482" s="13"/>
      <c r="AG482" s="14"/>
    </row>
    <row r="483" spans="32:33" x14ac:dyDescent="0.25">
      <c r="AF483" s="13"/>
      <c r="AG483" s="14"/>
    </row>
    <row r="484" spans="32:33" x14ac:dyDescent="0.25">
      <c r="AF484" s="13"/>
      <c r="AG484" s="14"/>
    </row>
    <row r="485" spans="32:33" x14ac:dyDescent="0.25">
      <c r="AF485" s="13"/>
      <c r="AG485" s="14"/>
    </row>
    <row r="486" spans="32:33" x14ac:dyDescent="0.25">
      <c r="AF486" s="13"/>
      <c r="AG486" s="14"/>
    </row>
    <row r="487" spans="32:33" x14ac:dyDescent="0.25">
      <c r="AF487" s="13"/>
      <c r="AG487" s="14"/>
    </row>
    <row r="488" spans="32:33" x14ac:dyDescent="0.25">
      <c r="AF488" s="13"/>
      <c r="AG488" s="14"/>
    </row>
    <row r="489" spans="32:33" x14ac:dyDescent="0.25">
      <c r="AF489" s="13"/>
      <c r="AG489" s="14"/>
    </row>
    <row r="490" spans="32:33" x14ac:dyDescent="0.25">
      <c r="AF490" s="13"/>
      <c r="AG490" s="14"/>
    </row>
    <row r="491" spans="32:33" x14ac:dyDescent="0.25">
      <c r="AF491" s="13"/>
      <c r="AG491" s="14"/>
    </row>
    <row r="492" spans="32:33" x14ac:dyDescent="0.25">
      <c r="AF492" s="13"/>
      <c r="AG492" s="14"/>
    </row>
    <row r="493" spans="32:33" x14ac:dyDescent="0.25">
      <c r="AF493" s="13"/>
      <c r="AG493" s="14"/>
    </row>
    <row r="494" spans="32:33" x14ac:dyDescent="0.25">
      <c r="AF494" s="13"/>
      <c r="AG494" s="14"/>
    </row>
    <row r="495" spans="32:33" x14ac:dyDescent="0.25">
      <c r="AF495" s="13"/>
      <c r="AG495" s="14"/>
    </row>
    <row r="496" spans="32:33" x14ac:dyDescent="0.25">
      <c r="AF496" s="13"/>
      <c r="AG496" s="14"/>
    </row>
    <row r="497" spans="32:33" x14ac:dyDescent="0.25">
      <c r="AF497" s="13"/>
      <c r="AG497" s="14"/>
    </row>
    <row r="498" spans="32:33" x14ac:dyDescent="0.25">
      <c r="AF498" s="13"/>
      <c r="AG498" s="14"/>
    </row>
    <row r="499" spans="32:33" x14ac:dyDescent="0.25">
      <c r="AF499" s="13"/>
      <c r="AG499" s="14"/>
    </row>
    <row r="500" spans="32:33" x14ac:dyDescent="0.25">
      <c r="AF500" s="13"/>
      <c r="AG500" s="14"/>
    </row>
    <row r="501" spans="32:33" x14ac:dyDescent="0.25">
      <c r="AF501" s="13"/>
      <c r="AG501" s="14"/>
    </row>
    <row r="502" spans="32:33" x14ac:dyDescent="0.25">
      <c r="AF502" s="13"/>
      <c r="AG502" s="14"/>
    </row>
    <row r="503" spans="32:33" x14ac:dyDescent="0.25">
      <c r="AF503" s="13"/>
      <c r="AG503" s="14"/>
    </row>
    <row r="504" spans="32:33" x14ac:dyDescent="0.25">
      <c r="AF504" s="13"/>
      <c r="AG504" s="14"/>
    </row>
    <row r="505" spans="32:33" x14ac:dyDescent="0.25">
      <c r="AF505" s="13"/>
      <c r="AG505" s="14"/>
    </row>
    <row r="506" spans="32:33" x14ac:dyDescent="0.25">
      <c r="AF506" s="13"/>
      <c r="AG506" s="14"/>
    </row>
    <row r="507" spans="32:33" x14ac:dyDescent="0.25">
      <c r="AF507" s="13"/>
      <c r="AG507" s="14"/>
    </row>
    <row r="508" spans="32:33" x14ac:dyDescent="0.25">
      <c r="AF508" s="13"/>
      <c r="AG508" s="14"/>
    </row>
    <row r="509" spans="32:33" x14ac:dyDescent="0.25">
      <c r="AF509" s="13"/>
      <c r="AG509" s="14"/>
    </row>
    <row r="510" spans="32:33" x14ac:dyDescent="0.25">
      <c r="AF510" s="13"/>
      <c r="AG510" s="14"/>
    </row>
    <row r="511" spans="32:33" x14ac:dyDescent="0.25">
      <c r="AF511" s="13"/>
      <c r="AG511" s="14"/>
    </row>
    <row r="512" spans="32:33" x14ac:dyDescent="0.25">
      <c r="AF512" s="13"/>
      <c r="AG512" s="14"/>
    </row>
    <row r="513" spans="32:33" x14ac:dyDescent="0.25">
      <c r="AF513" s="13"/>
      <c r="AG513" s="14"/>
    </row>
    <row r="514" spans="32:33" x14ac:dyDescent="0.25">
      <c r="AF514" s="13"/>
      <c r="AG514" s="14"/>
    </row>
    <row r="515" spans="32:33" x14ac:dyDescent="0.25">
      <c r="AF515" s="13"/>
      <c r="AG515" s="14"/>
    </row>
    <row r="516" spans="32:33" x14ac:dyDescent="0.25">
      <c r="AF516" s="13"/>
      <c r="AG516" s="14"/>
    </row>
    <row r="517" spans="32:33" x14ac:dyDescent="0.25">
      <c r="AF517" s="13"/>
      <c r="AG517" s="14"/>
    </row>
    <row r="518" spans="32:33" x14ac:dyDescent="0.25">
      <c r="AF518" s="13"/>
      <c r="AG518" s="14"/>
    </row>
    <row r="519" spans="32:33" x14ac:dyDescent="0.25">
      <c r="AF519" s="13"/>
      <c r="AG519" s="14"/>
    </row>
    <row r="520" spans="32:33" x14ac:dyDescent="0.25">
      <c r="AF520" s="13"/>
      <c r="AG520" s="14"/>
    </row>
    <row r="521" spans="32:33" x14ac:dyDescent="0.25">
      <c r="AF521" s="13"/>
      <c r="AG521" s="14"/>
    </row>
    <row r="522" spans="32:33" x14ac:dyDescent="0.25">
      <c r="AF522" s="13"/>
      <c r="AG522" s="14"/>
    </row>
    <row r="523" spans="32:33" x14ac:dyDescent="0.25">
      <c r="AF523" s="13"/>
      <c r="AG523" s="14"/>
    </row>
    <row r="524" spans="32:33" x14ac:dyDescent="0.25">
      <c r="AF524" s="13"/>
      <c r="AG524" s="14"/>
    </row>
    <row r="525" spans="32:33" x14ac:dyDescent="0.25">
      <c r="AF525" s="13"/>
      <c r="AG525" s="14"/>
    </row>
    <row r="526" spans="32:33" x14ac:dyDescent="0.25">
      <c r="AF526" s="13"/>
      <c r="AG526" s="14"/>
    </row>
    <row r="527" spans="32:33" x14ac:dyDescent="0.25">
      <c r="AF527" s="13"/>
      <c r="AG527" s="14"/>
    </row>
    <row r="528" spans="32:33" x14ac:dyDescent="0.25">
      <c r="AF528" s="13"/>
      <c r="AG528" s="14"/>
    </row>
    <row r="529" spans="32:33" x14ac:dyDescent="0.25">
      <c r="AF529" s="13"/>
      <c r="AG529" s="14"/>
    </row>
    <row r="530" spans="32:33" x14ac:dyDescent="0.25">
      <c r="AF530" s="13"/>
      <c r="AG530" s="14"/>
    </row>
    <row r="531" spans="32:33" x14ac:dyDescent="0.25">
      <c r="AF531" s="13"/>
      <c r="AG531" s="14"/>
    </row>
    <row r="532" spans="32:33" x14ac:dyDescent="0.25">
      <c r="AF532" s="13"/>
      <c r="AG532" s="14"/>
    </row>
    <row r="533" spans="32:33" x14ac:dyDescent="0.25">
      <c r="AF533" s="13"/>
      <c r="AG533" s="14"/>
    </row>
    <row r="534" spans="32:33" x14ac:dyDescent="0.25">
      <c r="AF534" s="13"/>
      <c r="AG534" s="14"/>
    </row>
    <row r="535" spans="32:33" x14ac:dyDescent="0.25">
      <c r="AF535" s="13"/>
      <c r="AG535" s="14"/>
    </row>
    <row r="536" spans="32:33" x14ac:dyDescent="0.25">
      <c r="AF536" s="13"/>
      <c r="AG536" s="14"/>
    </row>
    <row r="537" spans="32:33" x14ac:dyDescent="0.25">
      <c r="AF537" s="13"/>
      <c r="AG537" s="14"/>
    </row>
    <row r="538" spans="32:33" x14ac:dyDescent="0.25">
      <c r="AF538" s="13"/>
      <c r="AG538" s="14"/>
    </row>
    <row r="539" spans="32:33" x14ac:dyDescent="0.25">
      <c r="AF539" s="13"/>
      <c r="AG539" s="14"/>
    </row>
    <row r="540" spans="32:33" x14ac:dyDescent="0.25">
      <c r="AF540" s="13"/>
      <c r="AG540" s="14"/>
    </row>
    <row r="541" spans="32:33" x14ac:dyDescent="0.25">
      <c r="AF541" s="13"/>
      <c r="AG541" s="14"/>
    </row>
    <row r="542" spans="32:33" x14ac:dyDescent="0.25">
      <c r="AF542" s="13"/>
      <c r="AG542" s="14"/>
    </row>
    <row r="543" spans="32:33" x14ac:dyDescent="0.25">
      <c r="AF543" s="13"/>
      <c r="AG543" s="14"/>
    </row>
    <row r="544" spans="32:33" x14ac:dyDescent="0.25">
      <c r="AF544" s="13"/>
      <c r="AG544" s="14"/>
    </row>
    <row r="545" spans="32:33" x14ac:dyDescent="0.25">
      <c r="AF545" s="13"/>
      <c r="AG545" s="14"/>
    </row>
    <row r="546" spans="32:33" x14ac:dyDescent="0.25">
      <c r="AF546" s="13"/>
      <c r="AG546" s="14"/>
    </row>
    <row r="547" spans="32:33" x14ac:dyDescent="0.25">
      <c r="AF547" s="13"/>
      <c r="AG547" s="14"/>
    </row>
    <row r="548" spans="32:33" x14ac:dyDescent="0.25">
      <c r="AF548" s="13"/>
      <c r="AG548" s="14"/>
    </row>
    <row r="549" spans="32:33" x14ac:dyDescent="0.25">
      <c r="AF549" s="13"/>
      <c r="AG549" s="14"/>
    </row>
    <row r="550" spans="32:33" x14ac:dyDescent="0.25">
      <c r="AF550" s="13"/>
      <c r="AG550" s="14"/>
    </row>
    <row r="551" spans="32:33" x14ac:dyDescent="0.25">
      <c r="AF551" s="13"/>
      <c r="AG551" s="14"/>
    </row>
    <row r="552" spans="32:33" x14ac:dyDescent="0.25">
      <c r="AF552" s="13"/>
      <c r="AG552" s="14"/>
    </row>
    <row r="553" spans="32:33" x14ac:dyDescent="0.25">
      <c r="AF553" s="13"/>
      <c r="AG553" s="14"/>
    </row>
    <row r="554" spans="32:33" x14ac:dyDescent="0.25">
      <c r="AF554" s="13"/>
      <c r="AG554" s="14"/>
    </row>
    <row r="555" spans="32:33" x14ac:dyDescent="0.25">
      <c r="AF555" s="13"/>
      <c r="AG555" s="14"/>
    </row>
    <row r="556" spans="32:33" x14ac:dyDescent="0.25">
      <c r="AF556" s="13"/>
      <c r="AG556" s="14"/>
    </row>
    <row r="557" spans="32:33" x14ac:dyDescent="0.25">
      <c r="AF557" s="13"/>
      <c r="AG557" s="14"/>
    </row>
    <row r="558" spans="32:33" x14ac:dyDescent="0.25">
      <c r="AF558" s="13"/>
      <c r="AG558" s="14"/>
    </row>
    <row r="559" spans="32:33" x14ac:dyDescent="0.25">
      <c r="AF559" s="13"/>
      <c r="AG559" s="14"/>
    </row>
    <row r="560" spans="32:33" x14ac:dyDescent="0.25">
      <c r="AF560" s="13"/>
      <c r="AG560" s="14"/>
    </row>
    <row r="561" spans="32:33" x14ac:dyDescent="0.25">
      <c r="AF561" s="13"/>
      <c r="AG561" s="14"/>
    </row>
    <row r="562" spans="32:33" x14ac:dyDescent="0.25">
      <c r="AF562" s="13"/>
      <c r="AG562" s="14"/>
    </row>
    <row r="563" spans="32:33" x14ac:dyDescent="0.25">
      <c r="AF563" s="13"/>
      <c r="AG563" s="14"/>
    </row>
    <row r="564" spans="32:33" x14ac:dyDescent="0.25">
      <c r="AF564" s="13"/>
      <c r="AG564" s="14"/>
    </row>
    <row r="565" spans="32:33" x14ac:dyDescent="0.25">
      <c r="AF565" s="13"/>
      <c r="AG565" s="14"/>
    </row>
    <row r="566" spans="32:33" x14ac:dyDescent="0.25">
      <c r="AF566" s="13"/>
      <c r="AG566" s="14"/>
    </row>
    <row r="567" spans="32:33" x14ac:dyDescent="0.25">
      <c r="AF567" s="13"/>
      <c r="AG567" s="14"/>
    </row>
    <row r="568" spans="32:33" x14ac:dyDescent="0.25">
      <c r="AF568" s="13"/>
      <c r="AG568" s="14"/>
    </row>
    <row r="569" spans="32:33" x14ac:dyDescent="0.25">
      <c r="AF569" s="13"/>
      <c r="AG569" s="14"/>
    </row>
    <row r="570" spans="32:33" x14ac:dyDescent="0.25">
      <c r="AF570" s="13"/>
      <c r="AG570" s="14"/>
    </row>
    <row r="571" spans="32:33" x14ac:dyDescent="0.25">
      <c r="AF571" s="13"/>
      <c r="AG571" s="14"/>
    </row>
    <row r="572" spans="32:33" x14ac:dyDescent="0.25">
      <c r="AF572" s="13"/>
      <c r="AG572" s="14"/>
    </row>
    <row r="573" spans="32:33" x14ac:dyDescent="0.25">
      <c r="AF573" s="13"/>
      <c r="AG573" s="14"/>
    </row>
    <row r="574" spans="32:33" x14ac:dyDescent="0.25">
      <c r="AF574" s="13"/>
      <c r="AG574" s="14"/>
    </row>
    <row r="575" spans="32:33" x14ac:dyDescent="0.25">
      <c r="AF575" s="13"/>
      <c r="AG575" s="14"/>
    </row>
    <row r="576" spans="32:33" x14ac:dyDescent="0.25">
      <c r="AF576" s="13"/>
      <c r="AG576" s="14"/>
    </row>
    <row r="577" spans="32:33" x14ac:dyDescent="0.25">
      <c r="AF577" s="13"/>
      <c r="AG577" s="14"/>
    </row>
    <row r="578" spans="32:33" x14ac:dyDescent="0.25">
      <c r="AF578" s="13"/>
      <c r="AG578" s="14"/>
    </row>
    <row r="579" spans="32:33" x14ac:dyDescent="0.25">
      <c r="AF579" s="13"/>
      <c r="AG579" s="14"/>
    </row>
    <row r="580" spans="32:33" x14ac:dyDescent="0.25">
      <c r="AF580" s="13"/>
      <c r="AG580" s="14"/>
    </row>
    <row r="581" spans="32:33" x14ac:dyDescent="0.25">
      <c r="AF581" s="13"/>
      <c r="AG581" s="14"/>
    </row>
    <row r="582" spans="32:33" x14ac:dyDescent="0.25">
      <c r="AF582" s="13"/>
      <c r="AG582" s="14"/>
    </row>
    <row r="583" spans="32:33" x14ac:dyDescent="0.25">
      <c r="AF583" s="13"/>
      <c r="AG583" s="14"/>
    </row>
    <row r="584" spans="32:33" x14ac:dyDescent="0.25">
      <c r="AF584" s="13"/>
      <c r="AG584" s="14"/>
    </row>
    <row r="585" spans="32:33" x14ac:dyDescent="0.25">
      <c r="AF585" s="13"/>
      <c r="AG585" s="14"/>
    </row>
    <row r="586" spans="32:33" x14ac:dyDescent="0.25">
      <c r="AF586" s="13"/>
      <c r="AG586" s="14"/>
    </row>
    <row r="587" spans="32:33" x14ac:dyDescent="0.25">
      <c r="AF587" s="13"/>
      <c r="AG587" s="14"/>
    </row>
    <row r="588" spans="32:33" x14ac:dyDescent="0.25">
      <c r="AF588" s="13"/>
      <c r="AG588" s="14"/>
    </row>
    <row r="589" spans="32:33" x14ac:dyDescent="0.25">
      <c r="AF589" s="13"/>
      <c r="AG589" s="14"/>
    </row>
    <row r="590" spans="32:33" x14ac:dyDescent="0.25">
      <c r="AF590" s="13"/>
      <c r="AG590" s="14"/>
    </row>
    <row r="591" spans="32:33" x14ac:dyDescent="0.25">
      <c r="AF591" s="13"/>
      <c r="AG591" s="14"/>
    </row>
    <row r="592" spans="32:33" x14ac:dyDescent="0.25">
      <c r="AF592" s="13"/>
      <c r="AG592" s="14"/>
    </row>
    <row r="593" spans="32:33" x14ac:dyDescent="0.25">
      <c r="AF593" s="13"/>
      <c r="AG593" s="14"/>
    </row>
    <row r="594" spans="32:33" x14ac:dyDescent="0.25">
      <c r="AF594" s="13"/>
      <c r="AG594" s="14"/>
    </row>
    <row r="595" spans="32:33" x14ac:dyDescent="0.25">
      <c r="AF595" s="13"/>
      <c r="AG595" s="14"/>
    </row>
    <row r="596" spans="32:33" x14ac:dyDescent="0.25">
      <c r="AF596" s="13"/>
      <c r="AG596" s="14"/>
    </row>
    <row r="597" spans="32:33" x14ac:dyDescent="0.25">
      <c r="AF597" s="13"/>
      <c r="AG597" s="14"/>
    </row>
    <row r="598" spans="32:33" x14ac:dyDescent="0.25">
      <c r="AF598" s="13"/>
      <c r="AG598" s="14"/>
    </row>
    <row r="599" spans="32:33" x14ac:dyDescent="0.25">
      <c r="AF599" s="13"/>
      <c r="AG599" s="14"/>
    </row>
    <row r="600" spans="32:33" x14ac:dyDescent="0.25">
      <c r="AF600" s="13"/>
      <c r="AG600" s="14"/>
    </row>
    <row r="601" spans="32:33" x14ac:dyDescent="0.25">
      <c r="AF601" s="13"/>
      <c r="AG601" s="14"/>
    </row>
    <row r="602" spans="32:33" x14ac:dyDescent="0.25">
      <c r="AF602" s="13"/>
      <c r="AG602" s="14"/>
    </row>
    <row r="603" spans="32:33" x14ac:dyDescent="0.25">
      <c r="AF603" s="13"/>
      <c r="AG603" s="14"/>
    </row>
    <row r="604" spans="32:33" x14ac:dyDescent="0.25">
      <c r="AF604" s="13"/>
      <c r="AG604" s="14"/>
    </row>
    <row r="605" spans="32:33" x14ac:dyDescent="0.25">
      <c r="AF605" s="13"/>
      <c r="AG605" s="14"/>
    </row>
    <row r="606" spans="32:33" x14ac:dyDescent="0.25">
      <c r="AF606" s="13"/>
      <c r="AG606" s="14"/>
    </row>
    <row r="607" spans="32:33" x14ac:dyDescent="0.25">
      <c r="AF607" s="13"/>
      <c r="AG607" s="14"/>
    </row>
    <row r="608" spans="32:33" x14ac:dyDescent="0.25">
      <c r="AF608" s="13"/>
      <c r="AG608" s="14"/>
    </row>
    <row r="609" spans="32:33" x14ac:dyDescent="0.25">
      <c r="AF609" s="13"/>
      <c r="AG609" s="14"/>
    </row>
    <row r="610" spans="32:33" x14ac:dyDescent="0.25">
      <c r="AF610" s="13"/>
      <c r="AG610" s="14"/>
    </row>
    <row r="611" spans="32:33" x14ac:dyDescent="0.25">
      <c r="AF611" s="13"/>
      <c r="AG611" s="14"/>
    </row>
    <row r="612" spans="32:33" x14ac:dyDescent="0.25">
      <c r="AF612" s="13"/>
      <c r="AG612" s="14"/>
    </row>
    <row r="613" spans="32:33" x14ac:dyDescent="0.25">
      <c r="AF613" s="13"/>
      <c r="AG613" s="14"/>
    </row>
    <row r="614" spans="32:33" x14ac:dyDescent="0.25">
      <c r="AF614" s="13"/>
      <c r="AG614" s="14"/>
    </row>
    <row r="615" spans="32:33" x14ac:dyDescent="0.25">
      <c r="AF615" s="13"/>
      <c r="AG615" s="14"/>
    </row>
    <row r="616" spans="32:33" x14ac:dyDescent="0.25">
      <c r="AF616" s="13"/>
      <c r="AG616" s="14"/>
    </row>
    <row r="617" spans="32:33" x14ac:dyDescent="0.25">
      <c r="AF617" s="13"/>
      <c r="AG617" s="14"/>
    </row>
    <row r="618" spans="32:33" x14ac:dyDescent="0.25">
      <c r="AF618" s="13"/>
      <c r="AG618" s="14"/>
    </row>
    <row r="619" spans="32:33" x14ac:dyDescent="0.25">
      <c r="AF619" s="13"/>
      <c r="AG619" s="14"/>
    </row>
    <row r="620" spans="32:33" x14ac:dyDescent="0.25">
      <c r="AF620" s="13"/>
      <c r="AG620" s="14"/>
    </row>
    <row r="621" spans="32:33" x14ac:dyDescent="0.25">
      <c r="AF621" s="13"/>
      <c r="AG621" s="14"/>
    </row>
    <row r="622" spans="32:33" x14ac:dyDescent="0.25">
      <c r="AF622" s="13"/>
      <c r="AG622" s="14"/>
    </row>
    <row r="623" spans="32:33" x14ac:dyDescent="0.25">
      <c r="AF623" s="13"/>
      <c r="AG623" s="14"/>
    </row>
    <row r="624" spans="32:33" x14ac:dyDescent="0.25">
      <c r="AF624" s="13"/>
      <c r="AG624" s="14"/>
    </row>
    <row r="625" spans="32:33" x14ac:dyDescent="0.25">
      <c r="AF625" s="13"/>
      <c r="AG625" s="14"/>
    </row>
    <row r="626" spans="32:33" x14ac:dyDescent="0.25">
      <c r="AF626" s="13"/>
      <c r="AG626" s="14"/>
    </row>
    <row r="627" spans="32:33" x14ac:dyDescent="0.25">
      <c r="AF627" s="13"/>
      <c r="AG627" s="14"/>
    </row>
    <row r="628" spans="32:33" x14ac:dyDescent="0.25">
      <c r="AF628" s="13"/>
      <c r="AG628" s="14"/>
    </row>
    <row r="629" spans="32:33" x14ac:dyDescent="0.25">
      <c r="AF629" s="13"/>
      <c r="AG629" s="14"/>
    </row>
    <row r="630" spans="32:33" x14ac:dyDescent="0.25">
      <c r="AF630" s="13"/>
      <c r="AG630" s="14"/>
    </row>
    <row r="631" spans="32:33" x14ac:dyDescent="0.25">
      <c r="AF631" s="13"/>
      <c r="AG631" s="14"/>
    </row>
    <row r="632" spans="32:33" x14ac:dyDescent="0.25">
      <c r="AF632" s="13"/>
      <c r="AG632" s="14"/>
    </row>
    <row r="633" spans="32:33" x14ac:dyDescent="0.25">
      <c r="AF633" s="13"/>
      <c r="AG633" s="14"/>
    </row>
    <row r="634" spans="32:33" x14ac:dyDescent="0.25">
      <c r="AF634" s="13"/>
      <c r="AG634" s="14"/>
    </row>
    <row r="635" spans="32:33" x14ac:dyDescent="0.25">
      <c r="AF635" s="13"/>
      <c r="AG635" s="14"/>
    </row>
    <row r="636" spans="32:33" x14ac:dyDescent="0.25">
      <c r="AF636" s="13"/>
      <c r="AG636" s="14"/>
    </row>
    <row r="637" spans="32:33" x14ac:dyDescent="0.25">
      <c r="AF637" s="13"/>
      <c r="AG637" s="14"/>
    </row>
    <row r="638" spans="32:33" x14ac:dyDescent="0.25">
      <c r="AF638" s="13"/>
      <c r="AG638" s="14"/>
    </row>
    <row r="639" spans="32:33" x14ac:dyDescent="0.25">
      <c r="AF639" s="13"/>
      <c r="AG639" s="14"/>
    </row>
    <row r="640" spans="32:33" x14ac:dyDescent="0.25">
      <c r="AF640" s="13"/>
      <c r="AG640" s="14"/>
    </row>
    <row r="641" spans="32:33" x14ac:dyDescent="0.25">
      <c r="AF641" s="13"/>
      <c r="AG641" s="14"/>
    </row>
    <row r="642" spans="32:33" x14ac:dyDescent="0.25">
      <c r="AF642" s="13"/>
      <c r="AG642" s="14"/>
    </row>
    <row r="643" spans="32:33" x14ac:dyDescent="0.25">
      <c r="AF643" s="13"/>
      <c r="AG643" s="14"/>
    </row>
    <row r="644" spans="32:33" x14ac:dyDescent="0.25">
      <c r="AF644" s="13"/>
      <c r="AG644" s="14"/>
    </row>
    <row r="645" spans="32:33" x14ac:dyDescent="0.25">
      <c r="AF645" s="13"/>
      <c r="AG645" s="14"/>
    </row>
    <row r="646" spans="32:33" x14ac:dyDescent="0.25">
      <c r="AF646" s="13"/>
      <c r="AG646" s="14"/>
    </row>
    <row r="647" spans="32:33" x14ac:dyDescent="0.25">
      <c r="AF647" s="13"/>
      <c r="AG647" s="14"/>
    </row>
    <row r="648" spans="32:33" x14ac:dyDescent="0.25">
      <c r="AF648" s="13"/>
      <c r="AG648" s="14"/>
    </row>
    <row r="649" spans="32:33" x14ac:dyDescent="0.25">
      <c r="AF649" s="13"/>
      <c r="AG649" s="14"/>
    </row>
    <row r="650" spans="32:33" x14ac:dyDescent="0.25">
      <c r="AF650" s="13"/>
      <c r="AG650" s="14"/>
    </row>
    <row r="651" spans="32:33" x14ac:dyDescent="0.25">
      <c r="AF651" s="13"/>
      <c r="AG651" s="14"/>
    </row>
    <row r="652" spans="32:33" x14ac:dyDescent="0.25">
      <c r="AF652" s="13"/>
      <c r="AG652" s="14"/>
    </row>
    <row r="653" spans="32:33" x14ac:dyDescent="0.25">
      <c r="AF653" s="13"/>
      <c r="AG653" s="14"/>
    </row>
    <row r="654" spans="32:33" x14ac:dyDescent="0.25">
      <c r="AF654" s="13"/>
      <c r="AG654" s="14"/>
    </row>
    <row r="655" spans="32:33" x14ac:dyDescent="0.25">
      <c r="AF655" s="13"/>
      <c r="AG655" s="14"/>
    </row>
    <row r="656" spans="32:33" x14ac:dyDescent="0.25">
      <c r="AF656" s="13"/>
      <c r="AG656" s="14"/>
    </row>
    <row r="657" spans="32:33" x14ac:dyDescent="0.25">
      <c r="AF657" s="13"/>
      <c r="AG657" s="14"/>
    </row>
    <row r="658" spans="32:33" x14ac:dyDescent="0.25">
      <c r="AF658" s="13"/>
      <c r="AG658" s="14"/>
    </row>
    <row r="659" spans="32:33" x14ac:dyDescent="0.25">
      <c r="AF659" s="13"/>
      <c r="AG659" s="14"/>
    </row>
    <row r="660" spans="32:33" x14ac:dyDescent="0.25">
      <c r="AF660" s="13"/>
      <c r="AG660" s="14"/>
    </row>
    <row r="661" spans="32:33" x14ac:dyDescent="0.25">
      <c r="AF661" s="13"/>
      <c r="AG661" s="14"/>
    </row>
    <row r="662" spans="32:33" x14ac:dyDescent="0.25">
      <c r="AF662" s="13"/>
      <c r="AG662" s="14"/>
    </row>
    <row r="663" spans="32:33" x14ac:dyDescent="0.25">
      <c r="AF663" s="13"/>
      <c r="AG663" s="14"/>
    </row>
    <row r="664" spans="32:33" x14ac:dyDescent="0.25">
      <c r="AF664" s="13"/>
      <c r="AG664" s="14"/>
    </row>
    <row r="665" spans="32:33" x14ac:dyDescent="0.25">
      <c r="AF665" s="13"/>
      <c r="AG665" s="14"/>
    </row>
    <row r="666" spans="32:33" x14ac:dyDescent="0.25">
      <c r="AF666" s="13"/>
      <c r="AG666" s="14"/>
    </row>
    <row r="667" spans="32:33" x14ac:dyDescent="0.25">
      <c r="AF667" s="13"/>
      <c r="AG667" s="14"/>
    </row>
    <row r="668" spans="32:33" x14ac:dyDescent="0.25">
      <c r="AF668" s="13"/>
      <c r="AG668" s="14"/>
    </row>
    <row r="669" spans="32:33" x14ac:dyDescent="0.25">
      <c r="AF669" s="13"/>
      <c r="AG669" s="14"/>
    </row>
    <row r="670" spans="32:33" x14ac:dyDescent="0.25">
      <c r="AF670" s="13"/>
      <c r="AG670" s="14"/>
    </row>
    <row r="671" spans="32:33" x14ac:dyDescent="0.25">
      <c r="AF671" s="13"/>
      <c r="AG671" s="14"/>
    </row>
    <row r="672" spans="32:33" x14ac:dyDescent="0.25">
      <c r="AF672" s="13"/>
      <c r="AG672" s="14"/>
    </row>
    <row r="673" spans="32:33" x14ac:dyDescent="0.25">
      <c r="AF673" s="13"/>
      <c r="AG673" s="14"/>
    </row>
    <row r="674" spans="32:33" x14ac:dyDescent="0.25">
      <c r="AF674" s="13"/>
      <c r="AG674" s="14"/>
    </row>
    <row r="675" spans="32:33" x14ac:dyDescent="0.25">
      <c r="AF675" s="13"/>
      <c r="AG675" s="14"/>
    </row>
    <row r="676" spans="32:33" x14ac:dyDescent="0.25">
      <c r="AF676" s="13"/>
      <c r="AG676" s="14"/>
    </row>
    <row r="677" spans="32:33" x14ac:dyDescent="0.25">
      <c r="AF677" s="13"/>
      <c r="AG677" s="14"/>
    </row>
    <row r="678" spans="32:33" x14ac:dyDescent="0.25">
      <c r="AF678" s="13"/>
      <c r="AG678" s="14"/>
    </row>
    <row r="679" spans="32:33" x14ac:dyDescent="0.25">
      <c r="AF679" s="13"/>
      <c r="AG679" s="14"/>
    </row>
    <row r="680" spans="32:33" x14ac:dyDescent="0.25">
      <c r="AF680" s="13"/>
      <c r="AG680" s="14"/>
    </row>
    <row r="681" spans="32:33" x14ac:dyDescent="0.25">
      <c r="AF681" s="13"/>
      <c r="AG681" s="14"/>
    </row>
    <row r="682" spans="32:33" x14ac:dyDescent="0.25">
      <c r="AF682" s="13"/>
      <c r="AG682" s="14"/>
    </row>
    <row r="683" spans="32:33" x14ac:dyDescent="0.25">
      <c r="AF683" s="13"/>
      <c r="AG683" s="14"/>
    </row>
    <row r="684" spans="32:33" x14ac:dyDescent="0.25">
      <c r="AF684" s="13"/>
      <c r="AG684" s="14"/>
    </row>
    <row r="685" spans="32:33" x14ac:dyDescent="0.25">
      <c r="AF685" s="13"/>
      <c r="AG685" s="14"/>
    </row>
    <row r="686" spans="32:33" x14ac:dyDescent="0.25">
      <c r="AF686" s="13"/>
      <c r="AG686" s="14"/>
    </row>
    <row r="687" spans="32:33" x14ac:dyDescent="0.25">
      <c r="AF687" s="13"/>
      <c r="AG687" s="14"/>
    </row>
    <row r="688" spans="32:33" x14ac:dyDescent="0.25">
      <c r="AF688" s="13"/>
      <c r="AG688" s="14"/>
    </row>
    <row r="689" spans="32:33" x14ac:dyDescent="0.25">
      <c r="AF689" s="13"/>
      <c r="AG689" s="14"/>
    </row>
    <row r="690" spans="32:33" x14ac:dyDescent="0.25">
      <c r="AF690" s="13"/>
      <c r="AG690" s="14"/>
    </row>
    <row r="691" spans="32:33" x14ac:dyDescent="0.25">
      <c r="AF691" s="13"/>
      <c r="AG691" s="14"/>
    </row>
    <row r="692" spans="32:33" x14ac:dyDescent="0.25">
      <c r="AF692" s="13"/>
      <c r="AG692" s="14"/>
    </row>
    <row r="693" spans="32:33" x14ac:dyDescent="0.25">
      <c r="AF693" s="13"/>
      <c r="AG693" s="14"/>
    </row>
    <row r="694" spans="32:33" x14ac:dyDescent="0.25">
      <c r="AF694" s="13"/>
      <c r="AG694" s="14"/>
    </row>
    <row r="695" spans="32:33" x14ac:dyDescent="0.25">
      <c r="AF695" s="13"/>
      <c r="AG695" s="14"/>
    </row>
    <row r="696" spans="32:33" x14ac:dyDescent="0.25">
      <c r="AF696" s="13"/>
      <c r="AG696" s="14"/>
    </row>
    <row r="697" spans="32:33" x14ac:dyDescent="0.25">
      <c r="AF697" s="13"/>
      <c r="AG697" s="14"/>
    </row>
    <row r="698" spans="32:33" x14ac:dyDescent="0.25">
      <c r="AF698" s="13"/>
      <c r="AG698" s="14"/>
    </row>
    <row r="699" spans="32:33" x14ac:dyDescent="0.25">
      <c r="AF699" s="13"/>
      <c r="AG699" s="14"/>
    </row>
    <row r="700" spans="32:33" x14ac:dyDescent="0.25">
      <c r="AF700" s="13"/>
      <c r="AG700" s="14"/>
    </row>
    <row r="701" spans="32:33" x14ac:dyDescent="0.25">
      <c r="AF701" s="13"/>
      <c r="AG701" s="14"/>
    </row>
    <row r="702" spans="32:33" x14ac:dyDescent="0.25">
      <c r="AF702" s="13"/>
      <c r="AG702" s="14"/>
    </row>
    <row r="703" spans="32:33" x14ac:dyDescent="0.25">
      <c r="AF703" s="13"/>
      <c r="AG703" s="14"/>
    </row>
    <row r="704" spans="32:33" x14ac:dyDescent="0.25">
      <c r="AF704" s="13"/>
      <c r="AG704" s="14"/>
    </row>
    <row r="705" spans="32:33" x14ac:dyDescent="0.25">
      <c r="AF705" s="13"/>
      <c r="AG705" s="14"/>
    </row>
    <row r="706" spans="32:33" x14ac:dyDescent="0.25">
      <c r="AF706" s="13"/>
      <c r="AG706" s="14"/>
    </row>
    <row r="707" spans="32:33" x14ac:dyDescent="0.25">
      <c r="AF707" s="13"/>
      <c r="AG707" s="14"/>
    </row>
    <row r="708" spans="32:33" x14ac:dyDescent="0.25">
      <c r="AF708" s="13"/>
      <c r="AG708" s="14"/>
    </row>
    <row r="709" spans="32:33" x14ac:dyDescent="0.25">
      <c r="AF709" s="13"/>
      <c r="AG709" s="14"/>
    </row>
    <row r="710" spans="32:33" x14ac:dyDescent="0.25">
      <c r="AF710" s="13"/>
      <c r="AG710" s="14"/>
    </row>
    <row r="711" spans="32:33" x14ac:dyDescent="0.25">
      <c r="AF711" s="13"/>
      <c r="AG711" s="14"/>
    </row>
    <row r="712" spans="32:33" x14ac:dyDescent="0.25">
      <c r="AF712" s="13"/>
      <c r="AG712" s="14"/>
    </row>
    <row r="713" spans="32:33" x14ac:dyDescent="0.25">
      <c r="AF713" s="13"/>
      <c r="AG713" s="14"/>
    </row>
    <row r="714" spans="32:33" x14ac:dyDescent="0.25">
      <c r="AF714" s="13"/>
      <c r="AG714" s="14"/>
    </row>
    <row r="715" spans="32:33" x14ac:dyDescent="0.25">
      <c r="AF715" s="13"/>
      <c r="AG715" s="14"/>
    </row>
    <row r="716" spans="32:33" x14ac:dyDescent="0.25">
      <c r="AF716" s="13"/>
      <c r="AG716" s="14"/>
    </row>
    <row r="717" spans="32:33" x14ac:dyDescent="0.25">
      <c r="AF717" s="13"/>
      <c r="AG717" s="14"/>
    </row>
    <row r="718" spans="32:33" x14ac:dyDescent="0.25">
      <c r="AF718" s="13"/>
      <c r="AG718" s="14"/>
    </row>
    <row r="719" spans="32:33" x14ac:dyDescent="0.25">
      <c r="AF719" s="13"/>
      <c r="AG719" s="14"/>
    </row>
    <row r="720" spans="32:33" x14ac:dyDescent="0.25">
      <c r="AF720" s="13"/>
      <c r="AG720" s="14"/>
    </row>
    <row r="721" spans="32:33" x14ac:dyDescent="0.25">
      <c r="AF721" s="13"/>
      <c r="AG721" s="14"/>
    </row>
    <row r="722" spans="32:33" x14ac:dyDescent="0.25">
      <c r="AF722" s="13"/>
      <c r="AG722" s="14"/>
    </row>
    <row r="723" spans="32:33" x14ac:dyDescent="0.25">
      <c r="AF723" s="13"/>
      <c r="AG723" s="14"/>
    </row>
    <row r="724" spans="32:33" x14ac:dyDescent="0.25">
      <c r="AF724" s="13"/>
      <c r="AG724" s="14"/>
    </row>
    <row r="725" spans="32:33" x14ac:dyDescent="0.25">
      <c r="AF725" s="13"/>
      <c r="AG725" s="14"/>
    </row>
    <row r="726" spans="32:33" x14ac:dyDescent="0.25">
      <c r="AF726" s="13"/>
      <c r="AG726" s="14"/>
    </row>
    <row r="727" spans="32:33" x14ac:dyDescent="0.25">
      <c r="AF727" s="13"/>
      <c r="AG727" s="14"/>
    </row>
    <row r="728" spans="32:33" x14ac:dyDescent="0.25">
      <c r="AF728" s="13"/>
      <c r="AG728" s="14"/>
    </row>
    <row r="729" spans="32:33" x14ac:dyDescent="0.25">
      <c r="AF729" s="13"/>
      <c r="AG729" s="14"/>
    </row>
    <row r="730" spans="32:33" x14ac:dyDescent="0.25">
      <c r="AF730" s="13"/>
      <c r="AG730" s="14"/>
    </row>
    <row r="731" spans="32:33" x14ac:dyDescent="0.25">
      <c r="AF731" s="13"/>
      <c r="AG731" s="14"/>
    </row>
    <row r="732" spans="32:33" x14ac:dyDescent="0.25">
      <c r="AF732" s="13"/>
      <c r="AG732" s="14"/>
    </row>
    <row r="733" spans="32:33" x14ac:dyDescent="0.25">
      <c r="AF733" s="13"/>
      <c r="AG733" s="14"/>
    </row>
    <row r="734" spans="32:33" x14ac:dyDescent="0.25">
      <c r="AF734" s="13"/>
      <c r="AG734" s="14"/>
    </row>
    <row r="735" spans="32:33" x14ac:dyDescent="0.25">
      <c r="AF735" s="13"/>
      <c r="AG735" s="14"/>
    </row>
    <row r="736" spans="32:33" x14ac:dyDescent="0.25">
      <c r="AF736" s="13"/>
      <c r="AG736" s="14"/>
    </row>
    <row r="737" spans="32:33" x14ac:dyDescent="0.25">
      <c r="AF737" s="13"/>
      <c r="AG737" s="14"/>
    </row>
    <row r="738" spans="32:33" x14ac:dyDescent="0.25">
      <c r="AF738" s="13"/>
      <c r="AG738" s="14"/>
    </row>
    <row r="739" spans="32:33" x14ac:dyDescent="0.25">
      <c r="AF739" s="13"/>
      <c r="AG739" s="14"/>
    </row>
    <row r="740" spans="32:33" x14ac:dyDescent="0.25">
      <c r="AF740" s="13"/>
      <c r="AG740" s="14"/>
    </row>
    <row r="741" spans="32:33" x14ac:dyDescent="0.25">
      <c r="AF741" s="13"/>
      <c r="AG741" s="14"/>
    </row>
    <row r="742" spans="32:33" x14ac:dyDescent="0.25">
      <c r="AF742" s="13"/>
      <c r="AG742" s="14"/>
    </row>
    <row r="743" spans="32:33" x14ac:dyDescent="0.25">
      <c r="AF743" s="13"/>
      <c r="AG743" s="14"/>
    </row>
    <row r="744" spans="32:33" x14ac:dyDescent="0.25">
      <c r="AF744" s="13"/>
      <c r="AG744" s="14"/>
    </row>
    <row r="745" spans="32:33" x14ac:dyDescent="0.25">
      <c r="AF745" s="13"/>
      <c r="AG745" s="14"/>
    </row>
    <row r="746" spans="32:33" x14ac:dyDescent="0.25">
      <c r="AF746" s="13"/>
      <c r="AG746" s="14"/>
    </row>
    <row r="747" spans="32:33" x14ac:dyDescent="0.25">
      <c r="AF747" s="13"/>
      <c r="AG747" s="14"/>
    </row>
    <row r="748" spans="32:33" x14ac:dyDescent="0.25">
      <c r="AF748" s="13"/>
      <c r="AG748" s="14"/>
    </row>
    <row r="749" spans="32:33" x14ac:dyDescent="0.25">
      <c r="AF749" s="13"/>
      <c r="AG749" s="14"/>
    </row>
    <row r="750" spans="32:33" x14ac:dyDescent="0.25">
      <c r="AF750" s="13"/>
      <c r="AG750" s="14"/>
    </row>
    <row r="751" spans="32:33" x14ac:dyDescent="0.25">
      <c r="AF751" s="13"/>
      <c r="AG751" s="14"/>
    </row>
    <row r="752" spans="32:33" x14ac:dyDescent="0.25">
      <c r="AF752" s="13"/>
      <c r="AG752" s="14"/>
    </row>
    <row r="753" spans="32:33" x14ac:dyDescent="0.25">
      <c r="AF753" s="13"/>
      <c r="AG753" s="14"/>
    </row>
    <row r="754" spans="32:33" x14ac:dyDescent="0.25">
      <c r="AF754" s="13"/>
      <c r="AG754" s="14"/>
    </row>
    <row r="755" spans="32:33" x14ac:dyDescent="0.25">
      <c r="AF755" s="13"/>
      <c r="AG755" s="14"/>
    </row>
    <row r="756" spans="32:33" x14ac:dyDescent="0.25">
      <c r="AF756" s="13"/>
      <c r="AG756" s="14"/>
    </row>
    <row r="757" spans="32:33" x14ac:dyDescent="0.25">
      <c r="AF757" s="13"/>
      <c r="AG757" s="14"/>
    </row>
    <row r="758" spans="32:33" x14ac:dyDescent="0.25">
      <c r="AF758" s="13"/>
      <c r="AG758" s="14"/>
    </row>
    <row r="759" spans="32:33" x14ac:dyDescent="0.25">
      <c r="AF759" s="13"/>
      <c r="AG759" s="14"/>
    </row>
    <row r="760" spans="32:33" x14ac:dyDescent="0.25">
      <c r="AF760" s="13"/>
      <c r="AG760" s="14"/>
    </row>
    <row r="761" spans="32:33" x14ac:dyDescent="0.25">
      <c r="AF761" s="13"/>
      <c r="AG761" s="14"/>
    </row>
    <row r="762" spans="32:33" x14ac:dyDescent="0.25">
      <c r="AF762" s="13"/>
      <c r="AG762" s="14"/>
    </row>
    <row r="763" spans="32:33" x14ac:dyDescent="0.25">
      <c r="AF763" s="13"/>
      <c r="AG763" s="14"/>
    </row>
    <row r="764" spans="32:33" x14ac:dyDescent="0.25">
      <c r="AF764" s="13"/>
      <c r="AG764" s="14"/>
    </row>
    <row r="765" spans="32:33" x14ac:dyDescent="0.25">
      <c r="AF765" s="13"/>
      <c r="AG765" s="14"/>
    </row>
    <row r="766" spans="32:33" x14ac:dyDescent="0.25">
      <c r="AF766" s="13"/>
      <c r="AG766" s="14"/>
    </row>
    <row r="767" spans="32:33" x14ac:dyDescent="0.25">
      <c r="AF767" s="13"/>
      <c r="AG767" s="14"/>
    </row>
    <row r="768" spans="32:33" x14ac:dyDescent="0.25">
      <c r="AF768" s="13"/>
      <c r="AG768" s="14"/>
    </row>
    <row r="769" spans="32:33" x14ac:dyDescent="0.25">
      <c r="AF769" s="13"/>
      <c r="AG769" s="14"/>
    </row>
    <row r="770" spans="32:33" x14ac:dyDescent="0.25">
      <c r="AF770" s="13"/>
      <c r="AG770" s="14"/>
    </row>
    <row r="771" spans="32:33" x14ac:dyDescent="0.25">
      <c r="AF771" s="13"/>
      <c r="AG771" s="14"/>
    </row>
    <row r="772" spans="32:33" x14ac:dyDescent="0.25">
      <c r="AF772" s="13"/>
      <c r="AG772" s="14"/>
    </row>
    <row r="773" spans="32:33" x14ac:dyDescent="0.25">
      <c r="AF773" s="13"/>
      <c r="AG773" s="14"/>
    </row>
    <row r="774" spans="32:33" x14ac:dyDescent="0.25">
      <c r="AF774" s="13"/>
      <c r="AG774" s="14"/>
    </row>
    <row r="775" spans="32:33" x14ac:dyDescent="0.25">
      <c r="AF775" s="13"/>
      <c r="AG775" s="14"/>
    </row>
    <row r="776" spans="32:33" x14ac:dyDescent="0.25">
      <c r="AF776" s="13"/>
      <c r="AG776" s="14"/>
    </row>
    <row r="777" spans="32:33" x14ac:dyDescent="0.25">
      <c r="AF777" s="13"/>
      <c r="AG777" s="14"/>
    </row>
    <row r="778" spans="32:33" x14ac:dyDescent="0.25">
      <c r="AF778" s="13"/>
      <c r="AG778" s="14"/>
    </row>
    <row r="779" spans="32:33" x14ac:dyDescent="0.25">
      <c r="AF779" s="13"/>
      <c r="AG779" s="14"/>
    </row>
    <row r="780" spans="32:33" x14ac:dyDescent="0.25">
      <c r="AF780" s="13"/>
      <c r="AG780" s="14"/>
    </row>
    <row r="781" spans="32:33" x14ac:dyDescent="0.25">
      <c r="AF781" s="13"/>
      <c r="AG781" s="14"/>
    </row>
    <row r="782" spans="32:33" x14ac:dyDescent="0.25">
      <c r="AF782" s="13"/>
      <c r="AG782" s="14"/>
    </row>
    <row r="783" spans="32:33" x14ac:dyDescent="0.25">
      <c r="AF783" s="13"/>
      <c r="AG783" s="14"/>
    </row>
    <row r="784" spans="32:33" x14ac:dyDescent="0.25">
      <c r="AF784" s="13"/>
      <c r="AG784" s="14"/>
    </row>
    <row r="785" spans="32:33" x14ac:dyDescent="0.25">
      <c r="AF785" s="13"/>
      <c r="AG785" s="14"/>
    </row>
    <row r="786" spans="32:33" x14ac:dyDescent="0.25">
      <c r="AF786" s="13"/>
      <c r="AG786" s="14"/>
    </row>
    <row r="787" spans="32:33" x14ac:dyDescent="0.25">
      <c r="AF787" s="13"/>
      <c r="AG787" s="14"/>
    </row>
    <row r="788" spans="32:33" x14ac:dyDescent="0.25">
      <c r="AF788" s="13"/>
      <c r="AG788" s="14"/>
    </row>
    <row r="789" spans="32:33" x14ac:dyDescent="0.25">
      <c r="AF789" s="13"/>
      <c r="AG789" s="14"/>
    </row>
    <row r="790" spans="32:33" x14ac:dyDescent="0.25">
      <c r="AF790" s="13"/>
      <c r="AG790" s="14"/>
    </row>
    <row r="791" spans="32:33" x14ac:dyDescent="0.25">
      <c r="AF791" s="13"/>
      <c r="AG791" s="14"/>
    </row>
    <row r="792" spans="32:33" x14ac:dyDescent="0.25">
      <c r="AF792" s="13"/>
      <c r="AG792" s="14"/>
    </row>
    <row r="793" spans="32:33" x14ac:dyDescent="0.25">
      <c r="AF793" s="13"/>
      <c r="AG793" s="14"/>
    </row>
    <row r="794" spans="32:33" x14ac:dyDescent="0.25">
      <c r="AF794" s="13"/>
      <c r="AG794" s="14"/>
    </row>
    <row r="795" spans="32:33" x14ac:dyDescent="0.25">
      <c r="AF795" s="13"/>
      <c r="AG795" s="14"/>
    </row>
    <row r="796" spans="32:33" x14ac:dyDescent="0.25">
      <c r="AF796" s="13"/>
      <c r="AG796" s="14"/>
    </row>
    <row r="797" spans="32:33" x14ac:dyDescent="0.25">
      <c r="AF797" s="13"/>
      <c r="AG797" s="14"/>
    </row>
    <row r="798" spans="32:33" x14ac:dyDescent="0.25">
      <c r="AF798" s="13"/>
      <c r="AG798" s="14"/>
    </row>
    <row r="799" spans="32:33" x14ac:dyDescent="0.25">
      <c r="AF799" s="13"/>
      <c r="AG799" s="14"/>
    </row>
    <row r="800" spans="32:33" x14ac:dyDescent="0.25">
      <c r="AF800" s="13"/>
      <c r="AG800" s="14"/>
    </row>
    <row r="801" spans="32:33" x14ac:dyDescent="0.25">
      <c r="AF801" s="13"/>
      <c r="AG801" s="14"/>
    </row>
    <row r="802" spans="32:33" x14ac:dyDescent="0.25">
      <c r="AF802" s="13"/>
      <c r="AG802" s="14"/>
    </row>
    <row r="803" spans="32:33" x14ac:dyDescent="0.25">
      <c r="AF803" s="13"/>
      <c r="AG803" s="14"/>
    </row>
    <row r="804" spans="32:33" x14ac:dyDescent="0.25">
      <c r="AF804" s="13"/>
      <c r="AG804" s="14"/>
    </row>
    <row r="805" spans="32:33" x14ac:dyDescent="0.25">
      <c r="AF805" s="13"/>
      <c r="AG805" s="14"/>
    </row>
    <row r="806" spans="32:33" x14ac:dyDescent="0.25">
      <c r="AF806" s="13"/>
      <c r="AG806" s="14"/>
    </row>
    <row r="807" spans="32:33" x14ac:dyDescent="0.25">
      <c r="AF807" s="13"/>
      <c r="AG807" s="14"/>
    </row>
    <row r="808" spans="32:33" x14ac:dyDescent="0.25">
      <c r="AF808" s="13"/>
      <c r="AG808" s="14"/>
    </row>
    <row r="809" spans="32:33" x14ac:dyDescent="0.25">
      <c r="AF809" s="13"/>
      <c r="AG809" s="14"/>
    </row>
    <row r="810" spans="32:33" x14ac:dyDescent="0.25">
      <c r="AF810" s="13"/>
      <c r="AG810" s="14"/>
    </row>
    <row r="811" spans="32:33" x14ac:dyDescent="0.25">
      <c r="AF811" s="13"/>
      <c r="AG811" s="14"/>
    </row>
    <row r="812" spans="32:33" x14ac:dyDescent="0.25">
      <c r="AF812" s="13"/>
      <c r="AG812" s="14"/>
    </row>
    <row r="813" spans="32:33" x14ac:dyDescent="0.25">
      <c r="AF813" s="13"/>
      <c r="AG813" s="14"/>
    </row>
    <row r="814" spans="32:33" x14ac:dyDescent="0.25">
      <c r="AF814" s="13"/>
      <c r="AG814" s="14"/>
    </row>
    <row r="815" spans="32:33" x14ac:dyDescent="0.25">
      <c r="AF815" s="13"/>
      <c r="AG815" s="14"/>
    </row>
    <row r="816" spans="32:33" x14ac:dyDescent="0.25">
      <c r="AF816" s="13"/>
      <c r="AG816" s="14"/>
    </row>
    <row r="817" spans="32:33" x14ac:dyDescent="0.25">
      <c r="AF817" s="13"/>
      <c r="AG817" s="14"/>
    </row>
    <row r="818" spans="32:33" x14ac:dyDescent="0.25">
      <c r="AF818" s="13"/>
      <c r="AG818" s="14"/>
    </row>
    <row r="819" spans="32:33" x14ac:dyDescent="0.25">
      <c r="AF819" s="13"/>
      <c r="AG819" s="14"/>
    </row>
    <row r="820" spans="32:33" x14ac:dyDescent="0.25">
      <c r="AF820" s="13"/>
      <c r="AG820" s="14"/>
    </row>
    <row r="821" spans="32:33" x14ac:dyDescent="0.25">
      <c r="AF821" s="13"/>
      <c r="AG821" s="14"/>
    </row>
    <row r="822" spans="32:33" x14ac:dyDescent="0.25">
      <c r="AF822" s="13"/>
      <c r="AG822" s="14"/>
    </row>
    <row r="823" spans="32:33" x14ac:dyDescent="0.25">
      <c r="AF823" s="13"/>
      <c r="AG823" s="14"/>
    </row>
    <row r="824" spans="32:33" x14ac:dyDescent="0.25">
      <c r="AF824" s="13"/>
      <c r="AG824" s="14"/>
    </row>
    <row r="825" spans="32:33" x14ac:dyDescent="0.25">
      <c r="AF825" s="13"/>
      <c r="AG825" s="14"/>
    </row>
    <row r="826" spans="32:33" x14ac:dyDescent="0.25">
      <c r="AF826" s="13"/>
      <c r="AG826" s="14"/>
    </row>
    <row r="827" spans="32:33" x14ac:dyDescent="0.25">
      <c r="AF827" s="13"/>
      <c r="AG827" s="14"/>
    </row>
    <row r="828" spans="32:33" x14ac:dyDescent="0.25">
      <c r="AF828" s="13"/>
      <c r="AG828" s="14"/>
    </row>
    <row r="829" spans="32:33" x14ac:dyDescent="0.25">
      <c r="AF829" s="13"/>
      <c r="AG829" s="14"/>
    </row>
    <row r="830" spans="32:33" x14ac:dyDescent="0.25">
      <c r="AF830" s="13"/>
      <c r="AG830" s="14"/>
    </row>
    <row r="831" spans="32:33" x14ac:dyDescent="0.25">
      <c r="AF831" s="13"/>
      <c r="AG831" s="14"/>
    </row>
    <row r="832" spans="32:33" x14ac:dyDescent="0.25">
      <c r="AF832" s="13"/>
      <c r="AG832" s="14"/>
    </row>
    <row r="833" spans="32:33" x14ac:dyDescent="0.25">
      <c r="AF833" s="13"/>
      <c r="AG833" s="14"/>
    </row>
    <row r="834" spans="32:33" x14ac:dyDescent="0.25">
      <c r="AF834" s="13"/>
      <c r="AG834" s="14"/>
    </row>
    <row r="835" spans="32:33" x14ac:dyDescent="0.25">
      <c r="AF835" s="13"/>
      <c r="AG835" s="14"/>
    </row>
    <row r="836" spans="32:33" x14ac:dyDescent="0.25">
      <c r="AF836" s="13"/>
      <c r="AG836" s="14"/>
    </row>
    <row r="837" spans="32:33" x14ac:dyDescent="0.25">
      <c r="AF837" s="13"/>
      <c r="AG837" s="14"/>
    </row>
    <row r="838" spans="32:33" x14ac:dyDescent="0.25">
      <c r="AF838" s="13"/>
      <c r="AG838" s="14"/>
    </row>
    <row r="839" spans="32:33" x14ac:dyDescent="0.25">
      <c r="AF839" s="13"/>
      <c r="AG839" s="14"/>
    </row>
    <row r="840" spans="32:33" x14ac:dyDescent="0.25">
      <c r="AF840" s="13"/>
      <c r="AG840" s="14"/>
    </row>
    <row r="841" spans="32:33" x14ac:dyDescent="0.25">
      <c r="AF841" s="13"/>
      <c r="AG841" s="14"/>
    </row>
    <row r="842" spans="32:33" x14ac:dyDescent="0.25">
      <c r="AF842" s="13"/>
      <c r="AG842" s="14"/>
    </row>
    <row r="843" spans="32:33" x14ac:dyDescent="0.25">
      <c r="AF843" s="13"/>
      <c r="AG843" s="14"/>
    </row>
    <row r="844" spans="32:33" x14ac:dyDescent="0.25">
      <c r="AF844" s="13"/>
      <c r="AG844" s="14"/>
    </row>
    <row r="845" spans="32:33" x14ac:dyDescent="0.25">
      <c r="AF845" s="13"/>
      <c r="AG845" s="14"/>
    </row>
    <row r="846" spans="32:33" x14ac:dyDescent="0.25">
      <c r="AF846" s="13"/>
      <c r="AG846" s="14"/>
    </row>
    <row r="847" spans="32:33" x14ac:dyDescent="0.25">
      <c r="AF847" s="13"/>
      <c r="AG847" s="14"/>
    </row>
    <row r="848" spans="32:33" x14ac:dyDescent="0.25">
      <c r="AF848" s="13"/>
      <c r="AG848" s="14"/>
    </row>
    <row r="849" spans="32:33" x14ac:dyDescent="0.25">
      <c r="AF849" s="13"/>
      <c r="AG849" s="14"/>
    </row>
    <row r="850" spans="32:33" x14ac:dyDescent="0.25">
      <c r="AF850" s="13"/>
      <c r="AG850" s="14"/>
    </row>
    <row r="851" spans="32:33" x14ac:dyDescent="0.25">
      <c r="AF851" s="13"/>
      <c r="AG851" s="14"/>
    </row>
    <row r="852" spans="32:33" x14ac:dyDescent="0.25">
      <c r="AF852" s="13"/>
      <c r="AG852" s="14"/>
    </row>
    <row r="853" spans="32:33" x14ac:dyDescent="0.25">
      <c r="AF853" s="13"/>
      <c r="AG853" s="14"/>
    </row>
    <row r="854" spans="32:33" x14ac:dyDescent="0.25">
      <c r="AF854" s="13"/>
      <c r="AG854" s="14"/>
    </row>
    <row r="855" spans="32:33" x14ac:dyDescent="0.25">
      <c r="AF855" s="13"/>
      <c r="AG855" s="14"/>
    </row>
    <row r="856" spans="32:33" x14ac:dyDescent="0.25">
      <c r="AF856" s="13"/>
      <c r="AG856" s="14"/>
    </row>
    <row r="857" spans="32:33" x14ac:dyDescent="0.25">
      <c r="AF857" s="13"/>
      <c r="AG857" s="14"/>
    </row>
    <row r="858" spans="32:33" x14ac:dyDescent="0.25">
      <c r="AF858" s="13"/>
      <c r="AG858" s="14"/>
    </row>
    <row r="859" spans="32:33" x14ac:dyDescent="0.25">
      <c r="AF859" s="13"/>
      <c r="AG859" s="14"/>
    </row>
    <row r="860" spans="32:33" x14ac:dyDescent="0.25">
      <c r="AF860" s="13"/>
      <c r="AG860" s="14"/>
    </row>
    <row r="861" spans="32:33" x14ac:dyDescent="0.25">
      <c r="AF861" s="13"/>
      <c r="AG861" s="14"/>
    </row>
    <row r="862" spans="32:33" x14ac:dyDescent="0.25">
      <c r="AF862" s="13"/>
      <c r="AG862" s="14"/>
    </row>
    <row r="863" spans="32:33" x14ac:dyDescent="0.25">
      <c r="AF863" s="13"/>
      <c r="AG863" s="14"/>
    </row>
    <row r="864" spans="32:33" x14ac:dyDescent="0.25">
      <c r="AF864" s="13"/>
      <c r="AG864" s="14"/>
    </row>
    <row r="865" spans="32:33" x14ac:dyDescent="0.25">
      <c r="AF865" s="13"/>
      <c r="AG865" s="14"/>
    </row>
    <row r="866" spans="32:33" x14ac:dyDescent="0.25">
      <c r="AF866" s="13"/>
      <c r="AG866" s="14"/>
    </row>
    <row r="867" spans="32:33" x14ac:dyDescent="0.25">
      <c r="AF867" s="13"/>
      <c r="AG867" s="14"/>
    </row>
    <row r="868" spans="32:33" x14ac:dyDescent="0.25">
      <c r="AF868" s="13"/>
      <c r="AG868" s="14"/>
    </row>
    <row r="869" spans="32:33" x14ac:dyDescent="0.25">
      <c r="AF869" s="13"/>
      <c r="AG869" s="14"/>
    </row>
    <row r="870" spans="32:33" x14ac:dyDescent="0.25">
      <c r="AF870" s="13"/>
      <c r="AG870" s="14"/>
    </row>
    <row r="871" spans="32:33" x14ac:dyDescent="0.25">
      <c r="AF871" s="13"/>
      <c r="AG871" s="14"/>
    </row>
    <row r="872" spans="32:33" x14ac:dyDescent="0.25">
      <c r="AF872" s="13"/>
      <c r="AG872" s="14"/>
    </row>
    <row r="873" spans="32:33" x14ac:dyDescent="0.25">
      <c r="AF873" s="13"/>
      <c r="AG873" s="14"/>
    </row>
    <row r="874" spans="32:33" x14ac:dyDescent="0.25">
      <c r="AF874" s="13"/>
      <c r="AG874" s="14"/>
    </row>
    <row r="875" spans="32:33" x14ac:dyDescent="0.25">
      <c r="AF875" s="13"/>
      <c r="AG875" s="14"/>
    </row>
    <row r="876" spans="32:33" x14ac:dyDescent="0.25">
      <c r="AF876" s="13"/>
      <c r="AG876" s="14"/>
    </row>
    <row r="877" spans="32:33" x14ac:dyDescent="0.25">
      <c r="AF877" s="13"/>
      <c r="AG877" s="14"/>
    </row>
    <row r="878" spans="32:33" x14ac:dyDescent="0.25">
      <c r="AF878" s="13"/>
      <c r="AG878" s="14"/>
    </row>
    <row r="879" spans="32:33" x14ac:dyDescent="0.25">
      <c r="AF879" s="13"/>
      <c r="AG879" s="14"/>
    </row>
    <row r="880" spans="32:33" x14ac:dyDescent="0.25">
      <c r="AF880" s="13"/>
      <c r="AG880" s="14"/>
    </row>
    <row r="881" spans="32:33" x14ac:dyDescent="0.25">
      <c r="AF881" s="13"/>
      <c r="AG881" s="14"/>
    </row>
    <row r="882" spans="32:33" x14ac:dyDescent="0.25">
      <c r="AF882" s="13"/>
      <c r="AG882" s="14"/>
    </row>
    <row r="883" spans="32:33" x14ac:dyDescent="0.25">
      <c r="AF883" s="13"/>
      <c r="AG883" s="14"/>
    </row>
    <row r="884" spans="32:33" x14ac:dyDescent="0.25">
      <c r="AF884" s="13"/>
      <c r="AG884" s="14"/>
    </row>
    <row r="885" spans="32:33" x14ac:dyDescent="0.25">
      <c r="AF885" s="13"/>
      <c r="AG885" s="14"/>
    </row>
    <row r="886" spans="32:33" x14ac:dyDescent="0.25">
      <c r="AF886" s="13"/>
      <c r="AG886" s="14"/>
    </row>
    <row r="887" spans="32:33" x14ac:dyDescent="0.25">
      <c r="AF887" s="13"/>
      <c r="AG887" s="14"/>
    </row>
    <row r="888" spans="32:33" x14ac:dyDescent="0.25">
      <c r="AF888" s="13"/>
      <c r="AG888" s="14"/>
    </row>
    <row r="889" spans="32:33" x14ac:dyDescent="0.25">
      <c r="AF889" s="13"/>
      <c r="AG889" s="14"/>
    </row>
    <row r="890" spans="32:33" x14ac:dyDescent="0.25">
      <c r="AF890" s="13"/>
      <c r="AG890" s="14"/>
    </row>
    <row r="891" spans="32:33" x14ac:dyDescent="0.25">
      <c r="AF891" s="13"/>
      <c r="AG891" s="14"/>
    </row>
    <row r="892" spans="32:33" x14ac:dyDescent="0.25">
      <c r="AF892" s="13"/>
      <c r="AG892" s="14"/>
    </row>
    <row r="893" spans="32:33" x14ac:dyDescent="0.25">
      <c r="AF893" s="13"/>
      <c r="AG893" s="14"/>
    </row>
    <row r="894" spans="32:33" x14ac:dyDescent="0.25">
      <c r="AF894" s="13"/>
      <c r="AG894" s="14"/>
    </row>
    <row r="895" spans="32:33" x14ac:dyDescent="0.25">
      <c r="AF895" s="13"/>
      <c r="AG895" s="14"/>
    </row>
    <row r="896" spans="32:33" x14ac:dyDescent="0.25">
      <c r="AF896" s="13"/>
      <c r="AG896" s="14"/>
    </row>
    <row r="897" spans="32:33" x14ac:dyDescent="0.25">
      <c r="AF897" s="13"/>
      <c r="AG897" s="14"/>
    </row>
    <row r="898" spans="32:33" x14ac:dyDescent="0.25">
      <c r="AF898" s="13"/>
      <c r="AG898" s="14"/>
    </row>
    <row r="899" spans="32:33" x14ac:dyDescent="0.25">
      <c r="AF899" s="13"/>
      <c r="AG899" s="14"/>
    </row>
    <row r="900" spans="32:33" x14ac:dyDescent="0.25">
      <c r="AF900" s="13"/>
      <c r="AG900" s="14"/>
    </row>
    <row r="901" spans="32:33" x14ac:dyDescent="0.25">
      <c r="AF901" s="13"/>
      <c r="AG901" s="14"/>
    </row>
    <row r="902" spans="32:33" x14ac:dyDescent="0.25">
      <c r="AF902" s="13"/>
      <c r="AG902" s="14"/>
    </row>
    <row r="903" spans="32:33" x14ac:dyDescent="0.25">
      <c r="AF903" s="13"/>
      <c r="AG903" s="14"/>
    </row>
    <row r="904" spans="32:33" x14ac:dyDescent="0.25">
      <c r="AF904" s="13"/>
      <c r="AG904" s="14"/>
    </row>
    <row r="905" spans="32:33" x14ac:dyDescent="0.25">
      <c r="AF905" s="13"/>
      <c r="AG905" s="14"/>
    </row>
    <row r="906" spans="32:33" x14ac:dyDescent="0.25">
      <c r="AF906" s="13"/>
      <c r="AG906" s="14"/>
    </row>
    <row r="907" spans="32:33" x14ac:dyDescent="0.25">
      <c r="AF907" s="13"/>
      <c r="AG907" s="14"/>
    </row>
    <row r="908" spans="32:33" x14ac:dyDescent="0.25">
      <c r="AF908" s="13"/>
      <c r="AG908" s="14"/>
    </row>
    <row r="909" spans="32:33" x14ac:dyDescent="0.25">
      <c r="AF909" s="13"/>
      <c r="AG909" s="14"/>
    </row>
    <row r="910" spans="32:33" x14ac:dyDescent="0.25">
      <c r="AF910" s="13"/>
      <c r="AG910" s="14"/>
    </row>
    <row r="911" spans="32:33" x14ac:dyDescent="0.25">
      <c r="AF911" s="13"/>
      <c r="AG911" s="14"/>
    </row>
    <row r="912" spans="32:33" x14ac:dyDescent="0.25">
      <c r="AF912" s="13"/>
      <c r="AG912" s="14"/>
    </row>
    <row r="913" spans="32:33" x14ac:dyDescent="0.25">
      <c r="AF913" s="13"/>
      <c r="AG913" s="14"/>
    </row>
    <row r="914" spans="32:33" x14ac:dyDescent="0.25">
      <c r="AF914" s="13"/>
      <c r="AG914" s="14"/>
    </row>
    <row r="915" spans="32:33" x14ac:dyDescent="0.25">
      <c r="AF915" s="13"/>
      <c r="AG915" s="14"/>
    </row>
    <row r="916" spans="32:33" x14ac:dyDescent="0.25">
      <c r="AF916" s="13"/>
      <c r="AG916" s="14"/>
    </row>
    <row r="917" spans="32:33" x14ac:dyDescent="0.25">
      <c r="AF917" s="13"/>
      <c r="AG917" s="14"/>
    </row>
    <row r="918" spans="32:33" x14ac:dyDescent="0.25">
      <c r="AF918" s="13"/>
      <c r="AG918" s="14"/>
    </row>
    <row r="919" spans="32:33" x14ac:dyDescent="0.25">
      <c r="AF919" s="13"/>
      <c r="AG919" s="14"/>
    </row>
    <row r="920" spans="32:33" x14ac:dyDescent="0.25">
      <c r="AF920" s="13"/>
      <c r="AG920" s="14"/>
    </row>
    <row r="921" spans="32:33" x14ac:dyDescent="0.25">
      <c r="AF921" s="13"/>
      <c r="AG921" s="14"/>
    </row>
    <row r="922" spans="32:33" x14ac:dyDescent="0.25">
      <c r="AF922" s="13"/>
      <c r="AG922" s="14"/>
    </row>
    <row r="923" spans="32:33" x14ac:dyDescent="0.25">
      <c r="AF923" s="13"/>
      <c r="AG923" s="14"/>
    </row>
    <row r="924" spans="32:33" x14ac:dyDescent="0.25">
      <c r="AF924" s="13"/>
      <c r="AG924" s="14"/>
    </row>
    <row r="925" spans="32:33" x14ac:dyDescent="0.25">
      <c r="AF925" s="13"/>
      <c r="AG925" s="14"/>
    </row>
    <row r="926" spans="32:33" x14ac:dyDescent="0.25">
      <c r="AF926" s="13"/>
      <c r="AG926" s="14"/>
    </row>
    <row r="927" spans="32:33" x14ac:dyDescent="0.25">
      <c r="AF927" s="13"/>
      <c r="AG927" s="14"/>
    </row>
    <row r="928" spans="32:33" x14ac:dyDescent="0.25">
      <c r="AF928" s="13"/>
      <c r="AG928" s="14"/>
    </row>
    <row r="929" spans="32:33" x14ac:dyDescent="0.25">
      <c r="AF929" s="13"/>
      <c r="AG929" s="14"/>
    </row>
    <row r="930" spans="32:33" x14ac:dyDescent="0.25">
      <c r="AF930" s="13"/>
      <c r="AG930" s="14"/>
    </row>
    <row r="931" spans="32:33" x14ac:dyDescent="0.25">
      <c r="AF931" s="13"/>
      <c r="AG931" s="14"/>
    </row>
    <row r="932" spans="32:33" x14ac:dyDescent="0.25">
      <c r="AF932" s="13"/>
      <c r="AG932" s="14"/>
    </row>
    <row r="933" spans="32:33" x14ac:dyDescent="0.25">
      <c r="AF933" s="13"/>
      <c r="AG933" s="14"/>
    </row>
    <row r="934" spans="32:33" x14ac:dyDescent="0.25">
      <c r="AF934" s="13"/>
      <c r="AG934" s="14"/>
    </row>
    <row r="935" spans="32:33" x14ac:dyDescent="0.25">
      <c r="AF935" s="13"/>
      <c r="AG935" s="14"/>
    </row>
    <row r="936" spans="32:33" x14ac:dyDescent="0.25">
      <c r="AF936" s="13"/>
      <c r="AG936" s="14"/>
    </row>
    <row r="937" spans="32:33" x14ac:dyDescent="0.25">
      <c r="AF937" s="13"/>
      <c r="AG937" s="14"/>
    </row>
    <row r="938" spans="32:33" x14ac:dyDescent="0.25">
      <c r="AF938" s="13"/>
      <c r="AG938" s="14"/>
    </row>
    <row r="939" spans="32:33" x14ac:dyDescent="0.25">
      <c r="AF939" s="13"/>
      <c r="AG939" s="14"/>
    </row>
    <row r="940" spans="32:33" x14ac:dyDescent="0.25">
      <c r="AF940" s="13"/>
      <c r="AG940" s="14"/>
    </row>
    <row r="941" spans="32:33" x14ac:dyDescent="0.25">
      <c r="AF941" s="13"/>
      <c r="AG941" s="14"/>
    </row>
    <row r="942" spans="32:33" x14ac:dyDescent="0.25">
      <c r="AF942" s="13"/>
      <c r="AG942" s="14"/>
    </row>
    <row r="943" spans="32:33" x14ac:dyDescent="0.25">
      <c r="AF943" s="13"/>
      <c r="AG943" s="14"/>
    </row>
    <row r="944" spans="32:33" x14ac:dyDescent="0.25">
      <c r="AF944" s="13"/>
      <c r="AG944" s="14"/>
    </row>
    <row r="945" spans="32:33" x14ac:dyDescent="0.25">
      <c r="AF945" s="13"/>
      <c r="AG945" s="14"/>
    </row>
    <row r="946" spans="32:33" x14ac:dyDescent="0.25">
      <c r="AF946" s="13"/>
      <c r="AG946" s="14"/>
    </row>
    <row r="947" spans="32:33" x14ac:dyDescent="0.25">
      <c r="AF947" s="13"/>
      <c r="AG947" s="14"/>
    </row>
    <row r="948" spans="32:33" x14ac:dyDescent="0.25">
      <c r="AF948" s="13"/>
      <c r="AG948" s="14"/>
    </row>
    <row r="949" spans="32:33" x14ac:dyDescent="0.25">
      <c r="AF949" s="13"/>
      <c r="AG949" s="14"/>
    </row>
    <row r="950" spans="32:33" x14ac:dyDescent="0.25">
      <c r="AF950" s="13"/>
      <c r="AG950" s="14"/>
    </row>
    <row r="951" spans="32:33" x14ac:dyDescent="0.25">
      <c r="AF951" s="13"/>
      <c r="AG951" s="14"/>
    </row>
    <row r="952" spans="32:33" x14ac:dyDescent="0.25">
      <c r="AF952" s="13"/>
      <c r="AG952" s="14"/>
    </row>
    <row r="953" spans="32:33" x14ac:dyDescent="0.25">
      <c r="AF953" s="13"/>
      <c r="AG953" s="14"/>
    </row>
    <row r="954" spans="32:33" x14ac:dyDescent="0.25">
      <c r="AF954" s="13"/>
      <c r="AG954" s="14"/>
    </row>
    <row r="955" spans="32:33" x14ac:dyDescent="0.25">
      <c r="AF955" s="13"/>
      <c r="AG955" s="14"/>
    </row>
    <row r="956" spans="32:33" x14ac:dyDescent="0.25">
      <c r="AF956" s="13"/>
      <c r="AG956" s="14"/>
    </row>
    <row r="957" spans="32:33" x14ac:dyDescent="0.25">
      <c r="AF957" s="13"/>
      <c r="AG957" s="14"/>
    </row>
    <row r="958" spans="32:33" x14ac:dyDescent="0.25">
      <c r="AF958" s="13"/>
      <c r="AG958" s="14"/>
    </row>
    <row r="959" spans="32:33" x14ac:dyDescent="0.25">
      <c r="AF959" s="13"/>
      <c r="AG959" s="14"/>
    </row>
    <row r="960" spans="32:33" x14ac:dyDescent="0.25">
      <c r="AF960" s="13"/>
      <c r="AG960" s="14"/>
    </row>
    <row r="961" spans="32:33" x14ac:dyDescent="0.25">
      <c r="AF961" s="13"/>
      <c r="AG961" s="14"/>
    </row>
    <row r="962" spans="32:33" x14ac:dyDescent="0.25">
      <c r="AF962" s="13"/>
      <c r="AG962" s="14"/>
    </row>
    <row r="963" spans="32:33" x14ac:dyDescent="0.25">
      <c r="AF963" s="13"/>
      <c r="AG963" s="14"/>
    </row>
    <row r="964" spans="32:33" x14ac:dyDescent="0.25">
      <c r="AF964" s="13"/>
      <c r="AG964" s="14"/>
    </row>
    <row r="965" spans="32:33" x14ac:dyDescent="0.25">
      <c r="AF965" s="13"/>
      <c r="AG965" s="14"/>
    </row>
    <row r="966" spans="32:33" x14ac:dyDescent="0.25">
      <c r="AF966" s="13"/>
      <c r="AG966" s="14"/>
    </row>
    <row r="967" spans="32:33" x14ac:dyDescent="0.25">
      <c r="AF967" s="13"/>
      <c r="AG967" s="14"/>
    </row>
    <row r="968" spans="32:33" x14ac:dyDescent="0.25">
      <c r="AF968" s="13"/>
      <c r="AG968" s="14"/>
    </row>
    <row r="969" spans="32:33" x14ac:dyDescent="0.25">
      <c r="AF969" s="13"/>
      <c r="AG969" s="14"/>
    </row>
    <row r="970" spans="32:33" x14ac:dyDescent="0.25">
      <c r="AF970" s="13"/>
      <c r="AG970" s="14"/>
    </row>
    <row r="971" spans="32:33" x14ac:dyDescent="0.25">
      <c r="AF971" s="13"/>
      <c r="AG971" s="14"/>
    </row>
    <row r="972" spans="32:33" x14ac:dyDescent="0.25">
      <c r="AF972" s="13"/>
      <c r="AG972" s="14"/>
    </row>
    <row r="973" spans="32:33" x14ac:dyDescent="0.25">
      <c r="AF973" s="13"/>
      <c r="AG973" s="14"/>
    </row>
    <row r="974" spans="32:33" x14ac:dyDescent="0.25">
      <c r="AF974" s="13"/>
      <c r="AG974" s="14"/>
    </row>
    <row r="975" spans="32:33" x14ac:dyDescent="0.25">
      <c r="AF975" s="13"/>
      <c r="AG975" s="14"/>
    </row>
    <row r="976" spans="32:33" x14ac:dyDescent="0.25">
      <c r="AF976" s="13"/>
      <c r="AG976" s="14"/>
    </row>
    <row r="977" spans="32:33" x14ac:dyDescent="0.25">
      <c r="AF977" s="13"/>
      <c r="AG977" s="14"/>
    </row>
    <row r="978" spans="32:33" x14ac:dyDescent="0.25">
      <c r="AF978" s="13"/>
      <c r="AG978" s="14"/>
    </row>
    <row r="979" spans="32:33" x14ac:dyDescent="0.25">
      <c r="AF979" s="13"/>
      <c r="AG979" s="14"/>
    </row>
    <row r="980" spans="32:33" x14ac:dyDescent="0.25">
      <c r="AF980" s="13"/>
      <c r="AG980" s="14"/>
    </row>
    <row r="981" spans="32:33" x14ac:dyDescent="0.25">
      <c r="AF981" s="13"/>
      <c r="AG981" s="14"/>
    </row>
    <row r="982" spans="32:33" x14ac:dyDescent="0.25">
      <c r="AF982" s="13"/>
      <c r="AG982" s="14"/>
    </row>
    <row r="983" spans="32:33" x14ac:dyDescent="0.25">
      <c r="AF983" s="13"/>
      <c r="AG983" s="14"/>
    </row>
    <row r="984" spans="32:33" x14ac:dyDescent="0.25">
      <c r="AF984" s="13"/>
      <c r="AG984" s="14"/>
    </row>
    <row r="985" spans="32:33" x14ac:dyDescent="0.25">
      <c r="AF985" s="13"/>
      <c r="AG985" s="14"/>
    </row>
    <row r="986" spans="32:33" x14ac:dyDescent="0.25">
      <c r="AF986" s="13"/>
      <c r="AG986" s="14"/>
    </row>
    <row r="987" spans="32:33" x14ac:dyDescent="0.25">
      <c r="AF987" s="13"/>
      <c r="AG987" s="14"/>
    </row>
    <row r="988" spans="32:33" x14ac:dyDescent="0.25">
      <c r="AF988" s="13"/>
      <c r="AG988" s="14"/>
    </row>
    <row r="989" spans="32:33" x14ac:dyDescent="0.25">
      <c r="AF989" s="13"/>
      <c r="AG989" s="14"/>
    </row>
    <row r="990" spans="32:33" x14ac:dyDescent="0.25">
      <c r="AF990" s="13"/>
      <c r="AG990" s="14"/>
    </row>
    <row r="991" spans="32:33" x14ac:dyDescent="0.25">
      <c r="AF991" s="13"/>
      <c r="AG991" s="14"/>
    </row>
    <row r="992" spans="32:33" x14ac:dyDescent="0.25">
      <c r="AF992" s="13"/>
      <c r="AG992" s="14"/>
    </row>
    <row r="993" spans="32:33" x14ac:dyDescent="0.25">
      <c r="AF993" s="13"/>
      <c r="AG993" s="14"/>
    </row>
    <row r="994" spans="32:33" x14ac:dyDescent="0.25">
      <c r="AF994" s="13"/>
      <c r="AG994" s="14"/>
    </row>
    <row r="995" spans="32:33" x14ac:dyDescent="0.25">
      <c r="AF995" s="13"/>
      <c r="AG995" s="14"/>
    </row>
    <row r="996" spans="32:33" x14ac:dyDescent="0.25">
      <c r="AF996" s="13"/>
      <c r="AG996" s="14"/>
    </row>
    <row r="997" spans="32:33" x14ac:dyDescent="0.25">
      <c r="AF997" s="13"/>
      <c r="AG997" s="14"/>
    </row>
    <row r="998" spans="32:33" x14ac:dyDescent="0.25">
      <c r="AF998" s="13"/>
      <c r="AG998" s="14"/>
    </row>
    <row r="999" spans="32:33" x14ac:dyDescent="0.25">
      <c r="AF999" s="13"/>
      <c r="AG999" s="14"/>
    </row>
    <row r="1000" spans="32:33" x14ac:dyDescent="0.25">
      <c r="AF1000" s="13"/>
      <c r="AG1000" s="14"/>
    </row>
    <row r="1001" spans="32:33" x14ac:dyDescent="0.25">
      <c r="AF1001" s="13"/>
      <c r="AG1001" s="14"/>
    </row>
    <row r="1002" spans="32:33" x14ac:dyDescent="0.25">
      <c r="AF1002" s="13"/>
      <c r="AG1002" s="14"/>
    </row>
    <row r="1003" spans="32:33" x14ac:dyDescent="0.25">
      <c r="AF1003" s="13"/>
      <c r="AG1003" s="14"/>
    </row>
    <row r="1004" spans="32:33" x14ac:dyDescent="0.25">
      <c r="AF1004" s="13"/>
      <c r="AG1004" s="14"/>
    </row>
    <row r="1005" spans="32:33" x14ac:dyDescent="0.25">
      <c r="AF1005" s="13"/>
      <c r="AG1005" s="14"/>
    </row>
    <row r="1006" spans="32:33" x14ac:dyDescent="0.25">
      <c r="AF1006" s="13"/>
      <c r="AG1006" s="14"/>
    </row>
    <row r="1007" spans="32:33" x14ac:dyDescent="0.25">
      <c r="AF1007" s="13"/>
      <c r="AG1007" s="14"/>
    </row>
    <row r="1008" spans="32:33" x14ac:dyDescent="0.25">
      <c r="AF1008" s="13"/>
      <c r="AG1008" s="14"/>
    </row>
    <row r="1009" spans="32:33" x14ac:dyDescent="0.25">
      <c r="AF1009" s="13"/>
      <c r="AG1009" s="14"/>
    </row>
    <row r="1010" spans="32:33" x14ac:dyDescent="0.25">
      <c r="AF1010" s="13"/>
      <c r="AG1010" s="14"/>
    </row>
    <row r="1011" spans="32:33" x14ac:dyDescent="0.25">
      <c r="AF1011" s="13"/>
      <c r="AG1011" s="14"/>
    </row>
    <row r="1012" spans="32:33" x14ac:dyDescent="0.25">
      <c r="AF1012" s="13"/>
      <c r="AG1012" s="14"/>
    </row>
    <row r="1013" spans="32:33" x14ac:dyDescent="0.25">
      <c r="AF1013" s="13"/>
      <c r="AG1013" s="14"/>
    </row>
    <row r="1014" spans="32:33" x14ac:dyDescent="0.25">
      <c r="AF1014" s="13"/>
      <c r="AG1014" s="14"/>
    </row>
    <row r="1015" spans="32:33" x14ac:dyDescent="0.25">
      <c r="AF1015" s="13"/>
      <c r="AG1015" s="14"/>
    </row>
    <row r="1016" spans="32:33" x14ac:dyDescent="0.25">
      <c r="AF1016" s="13"/>
      <c r="AG1016" s="14"/>
    </row>
    <row r="1017" spans="32:33" x14ac:dyDescent="0.25">
      <c r="AF1017" s="13"/>
      <c r="AG1017" s="14"/>
    </row>
    <row r="1018" spans="32:33" x14ac:dyDescent="0.25">
      <c r="AF1018" s="13"/>
      <c r="AG1018" s="14"/>
    </row>
    <row r="1019" spans="32:33" x14ac:dyDescent="0.25">
      <c r="AF1019" s="13"/>
      <c r="AG1019" s="14"/>
    </row>
    <row r="1020" spans="32:33" x14ac:dyDescent="0.25">
      <c r="AF1020" s="13"/>
      <c r="AG1020" s="14"/>
    </row>
    <row r="1021" spans="32:33" x14ac:dyDescent="0.25">
      <c r="AF1021" s="13"/>
      <c r="AG1021" s="14"/>
    </row>
    <row r="1022" spans="32:33" x14ac:dyDescent="0.25">
      <c r="AF1022" s="13"/>
      <c r="AG1022" s="14"/>
    </row>
    <row r="1023" spans="32:33" x14ac:dyDescent="0.25">
      <c r="AF1023" s="13"/>
      <c r="AG1023" s="14"/>
    </row>
    <row r="1024" spans="32:33" x14ac:dyDescent="0.25">
      <c r="AF1024" s="13"/>
      <c r="AG1024" s="14"/>
    </row>
    <row r="1025" spans="32:33" x14ac:dyDescent="0.25">
      <c r="AF1025" s="13"/>
      <c r="AG1025" s="14"/>
    </row>
    <row r="1026" spans="32:33" x14ac:dyDescent="0.25">
      <c r="AF1026" s="13"/>
      <c r="AG1026" s="14"/>
    </row>
    <row r="1027" spans="32:33" x14ac:dyDescent="0.25">
      <c r="AF1027" s="13"/>
      <c r="AG1027" s="14"/>
    </row>
    <row r="1028" spans="32:33" x14ac:dyDescent="0.25">
      <c r="AF1028" s="13"/>
      <c r="AG1028" s="14"/>
    </row>
    <row r="1029" spans="32:33" x14ac:dyDescent="0.25">
      <c r="AF1029" s="13"/>
      <c r="AG1029" s="14"/>
    </row>
    <row r="1030" spans="32:33" x14ac:dyDescent="0.25">
      <c r="AF1030" s="13"/>
      <c r="AG1030" s="14"/>
    </row>
    <row r="1031" spans="32:33" x14ac:dyDescent="0.25">
      <c r="AF1031" s="13"/>
      <c r="AG1031" s="14"/>
    </row>
    <row r="1032" spans="32:33" x14ac:dyDescent="0.25">
      <c r="AF1032" s="13"/>
      <c r="AG1032" s="14"/>
    </row>
    <row r="1033" spans="32:33" x14ac:dyDescent="0.25">
      <c r="AF1033" s="13"/>
      <c r="AG1033" s="14"/>
    </row>
    <row r="1034" spans="32:33" x14ac:dyDescent="0.25">
      <c r="AF1034" s="13"/>
      <c r="AG1034" s="14"/>
    </row>
    <row r="1035" spans="32:33" x14ac:dyDescent="0.25">
      <c r="AF1035" s="13"/>
      <c r="AG1035" s="14"/>
    </row>
    <row r="1036" spans="32:33" x14ac:dyDescent="0.25">
      <c r="AF1036" s="13"/>
      <c r="AG1036" s="14"/>
    </row>
    <row r="1037" spans="32:33" x14ac:dyDescent="0.25">
      <c r="AF1037" s="13"/>
      <c r="AG1037" s="14"/>
    </row>
    <row r="1038" spans="32:33" x14ac:dyDescent="0.25">
      <c r="AF1038" s="13"/>
      <c r="AG1038" s="14"/>
    </row>
    <row r="1039" spans="32:33" x14ac:dyDescent="0.25">
      <c r="AF1039" s="13"/>
      <c r="AG1039" s="14"/>
    </row>
    <row r="1040" spans="32:33" x14ac:dyDescent="0.25">
      <c r="AF1040" s="13"/>
      <c r="AG1040" s="14"/>
    </row>
    <row r="1041" spans="32:33" x14ac:dyDescent="0.25">
      <c r="AF1041" s="13"/>
      <c r="AG1041" s="14"/>
    </row>
    <row r="1042" spans="32:33" x14ac:dyDescent="0.25">
      <c r="AF1042" s="13"/>
      <c r="AG1042" s="14"/>
    </row>
    <row r="1043" spans="32:33" x14ac:dyDescent="0.25">
      <c r="AF1043" s="13"/>
      <c r="AG1043" s="14"/>
    </row>
    <row r="1044" spans="32:33" x14ac:dyDescent="0.25">
      <c r="AF1044" s="13"/>
      <c r="AG1044" s="14"/>
    </row>
    <row r="1045" spans="32:33" x14ac:dyDescent="0.25">
      <c r="AF1045" s="13"/>
      <c r="AG1045" s="14"/>
    </row>
    <row r="1046" spans="32:33" x14ac:dyDescent="0.25">
      <c r="AF1046" s="13"/>
      <c r="AG1046" s="14"/>
    </row>
    <row r="1047" spans="32:33" x14ac:dyDescent="0.25">
      <c r="AF1047" s="13"/>
      <c r="AG1047" s="14"/>
    </row>
    <row r="1048" spans="32:33" x14ac:dyDescent="0.25">
      <c r="AF1048" s="13"/>
      <c r="AG1048" s="14"/>
    </row>
    <row r="1049" spans="32:33" x14ac:dyDescent="0.25">
      <c r="AF1049" s="13"/>
      <c r="AG1049" s="14"/>
    </row>
    <row r="1050" spans="32:33" x14ac:dyDescent="0.25">
      <c r="AF1050" s="13"/>
      <c r="AG1050" s="14"/>
    </row>
    <row r="1051" spans="32:33" x14ac:dyDescent="0.25">
      <c r="AF1051" s="13"/>
      <c r="AG1051" s="14"/>
    </row>
    <row r="1052" spans="32:33" x14ac:dyDescent="0.25">
      <c r="AF1052" s="13"/>
      <c r="AG1052" s="14"/>
    </row>
    <row r="1053" spans="32:33" x14ac:dyDescent="0.25">
      <c r="AF1053" s="13"/>
      <c r="AG1053" s="14"/>
    </row>
    <row r="1054" spans="32:33" x14ac:dyDescent="0.25">
      <c r="AF1054" s="13"/>
      <c r="AG1054" s="14"/>
    </row>
    <row r="1055" spans="32:33" x14ac:dyDescent="0.25">
      <c r="AF1055" s="13"/>
      <c r="AG1055" s="14"/>
    </row>
    <row r="1056" spans="32:33" x14ac:dyDescent="0.25">
      <c r="AF1056" s="13"/>
      <c r="AG1056" s="14"/>
    </row>
    <row r="1057" spans="32:33" x14ac:dyDescent="0.25">
      <c r="AF1057" s="13"/>
      <c r="AG1057" s="14"/>
    </row>
    <row r="1058" spans="32:33" x14ac:dyDescent="0.25">
      <c r="AF1058" s="13"/>
      <c r="AG1058" s="14"/>
    </row>
    <row r="1059" spans="32:33" x14ac:dyDescent="0.25">
      <c r="AF1059" s="13"/>
      <c r="AG1059" s="14"/>
    </row>
    <row r="1060" spans="32:33" x14ac:dyDescent="0.25">
      <c r="AF1060" s="13"/>
      <c r="AG1060" s="14"/>
    </row>
    <row r="1061" spans="32:33" x14ac:dyDescent="0.25">
      <c r="AF1061" s="13"/>
      <c r="AG1061" s="14"/>
    </row>
    <row r="1062" spans="32:33" x14ac:dyDescent="0.25">
      <c r="AF1062" s="13"/>
      <c r="AG1062" s="14"/>
    </row>
    <row r="1063" spans="32:33" x14ac:dyDescent="0.25">
      <c r="AF1063" s="13"/>
      <c r="AG1063" s="14"/>
    </row>
    <row r="1064" spans="32:33" x14ac:dyDescent="0.25">
      <c r="AF1064" s="13"/>
      <c r="AG1064" s="14"/>
    </row>
    <row r="1065" spans="32:33" x14ac:dyDescent="0.25">
      <c r="AF1065" s="13"/>
      <c r="AG1065" s="14"/>
    </row>
    <row r="1066" spans="32:33" x14ac:dyDescent="0.25">
      <c r="AF1066" s="13"/>
      <c r="AG1066" s="14"/>
    </row>
    <row r="1067" spans="32:33" x14ac:dyDescent="0.25">
      <c r="AF1067" s="13"/>
      <c r="AG1067" s="14"/>
    </row>
    <row r="1068" spans="32:33" x14ac:dyDescent="0.25">
      <c r="AF1068" s="13"/>
      <c r="AG1068" s="14"/>
    </row>
    <row r="1069" spans="32:33" x14ac:dyDescent="0.25">
      <c r="AF1069" s="13"/>
      <c r="AG1069" s="14"/>
    </row>
    <row r="1070" spans="32:33" x14ac:dyDescent="0.25">
      <c r="AF1070" s="13"/>
      <c r="AG1070" s="14"/>
    </row>
    <row r="1071" spans="32:33" x14ac:dyDescent="0.25">
      <c r="AF1071" s="13"/>
      <c r="AG1071" s="14"/>
    </row>
    <row r="1072" spans="32:33" x14ac:dyDescent="0.25">
      <c r="AF1072" s="13"/>
      <c r="AG1072" s="14"/>
    </row>
    <row r="1073" spans="32:33" x14ac:dyDescent="0.25">
      <c r="AF1073" s="13"/>
      <c r="AG1073" s="14"/>
    </row>
    <row r="1074" spans="32:33" x14ac:dyDescent="0.25">
      <c r="AF1074" s="13"/>
      <c r="AG1074" s="14"/>
    </row>
    <row r="1075" spans="32:33" x14ac:dyDescent="0.25">
      <c r="AF1075" s="13"/>
      <c r="AG1075" s="14"/>
    </row>
    <row r="1076" spans="32:33" x14ac:dyDescent="0.25">
      <c r="AF1076" s="13"/>
      <c r="AG1076" s="14"/>
    </row>
    <row r="1077" spans="32:33" x14ac:dyDescent="0.25">
      <c r="AF1077" s="13"/>
      <c r="AG1077" s="14"/>
    </row>
    <row r="1078" spans="32:33" x14ac:dyDescent="0.25">
      <c r="AF1078" s="13"/>
      <c r="AG1078" s="14"/>
    </row>
    <row r="1079" spans="32:33" x14ac:dyDescent="0.25">
      <c r="AF1079" s="13"/>
      <c r="AG1079" s="14"/>
    </row>
    <row r="1080" spans="32:33" x14ac:dyDescent="0.25">
      <c r="AF1080" s="13"/>
      <c r="AG1080" s="14"/>
    </row>
    <row r="1081" spans="32:33" x14ac:dyDescent="0.25">
      <c r="AF1081" s="13"/>
      <c r="AG1081" s="14"/>
    </row>
    <row r="1082" spans="32:33" x14ac:dyDescent="0.25">
      <c r="AF1082" s="13"/>
      <c r="AG1082" s="14"/>
    </row>
    <row r="1083" spans="32:33" x14ac:dyDescent="0.25">
      <c r="AF1083" s="13"/>
      <c r="AG1083" s="14"/>
    </row>
    <row r="1084" spans="32:33" x14ac:dyDescent="0.25">
      <c r="AF1084" s="13"/>
      <c r="AG1084" s="14"/>
    </row>
    <row r="1085" spans="32:33" x14ac:dyDescent="0.25">
      <c r="AF1085" s="13"/>
      <c r="AG1085" s="14"/>
    </row>
    <row r="1086" spans="32:33" x14ac:dyDescent="0.25">
      <c r="AF1086" s="13"/>
      <c r="AG1086" s="14"/>
    </row>
    <row r="1087" spans="32:33" x14ac:dyDescent="0.25">
      <c r="AF1087" s="13"/>
      <c r="AG1087" s="14"/>
    </row>
    <row r="1088" spans="32:33" x14ac:dyDescent="0.25">
      <c r="AF1088" s="13"/>
      <c r="AG1088" s="14"/>
    </row>
    <row r="1089" spans="32:33" x14ac:dyDescent="0.25">
      <c r="AF1089" s="13"/>
      <c r="AG1089" s="14"/>
    </row>
    <row r="1090" spans="32:33" x14ac:dyDescent="0.25">
      <c r="AF1090" s="13"/>
      <c r="AG1090" s="14"/>
    </row>
    <row r="1091" spans="32:33" x14ac:dyDescent="0.25">
      <c r="AF1091" s="13"/>
      <c r="AG1091" s="14"/>
    </row>
    <row r="1092" spans="32:33" x14ac:dyDescent="0.25">
      <c r="AF1092" s="13"/>
      <c r="AG1092" s="14"/>
    </row>
    <row r="1093" spans="32:33" x14ac:dyDescent="0.25">
      <c r="AF1093" s="13"/>
      <c r="AG1093" s="14"/>
    </row>
    <row r="1094" spans="32:33" x14ac:dyDescent="0.25">
      <c r="AF1094" s="13"/>
      <c r="AG1094" s="14"/>
    </row>
    <row r="1095" spans="32:33" x14ac:dyDescent="0.25">
      <c r="AF1095" s="13"/>
      <c r="AG1095" s="14"/>
    </row>
    <row r="1096" spans="32:33" x14ac:dyDescent="0.25">
      <c r="AF1096" s="13"/>
      <c r="AG1096" s="14"/>
    </row>
    <row r="1097" spans="32:33" x14ac:dyDescent="0.25">
      <c r="AF1097" s="13"/>
      <c r="AG1097" s="14"/>
    </row>
    <row r="1098" spans="32:33" x14ac:dyDescent="0.25">
      <c r="AF1098" s="13"/>
      <c r="AG1098" s="14"/>
    </row>
    <row r="1099" spans="32:33" x14ac:dyDescent="0.25">
      <c r="AF1099" s="13"/>
      <c r="AG1099" s="14"/>
    </row>
    <row r="1100" spans="32:33" x14ac:dyDescent="0.25">
      <c r="AF1100" s="13"/>
      <c r="AG1100" s="14"/>
    </row>
    <row r="1101" spans="32:33" x14ac:dyDescent="0.25">
      <c r="AF1101" s="13"/>
      <c r="AG1101" s="14"/>
    </row>
    <row r="1102" spans="32:33" x14ac:dyDescent="0.25">
      <c r="AF1102" s="13"/>
      <c r="AG1102" s="14"/>
    </row>
    <row r="1103" spans="32:33" x14ac:dyDescent="0.25">
      <c r="AF1103" s="13"/>
      <c r="AG1103" s="14"/>
    </row>
    <row r="1104" spans="32:33" x14ac:dyDescent="0.25">
      <c r="AF1104" s="13"/>
      <c r="AG1104" s="14"/>
    </row>
    <row r="1105" spans="32:33" x14ac:dyDescent="0.25">
      <c r="AF1105" s="13"/>
      <c r="AG1105" s="14"/>
    </row>
    <row r="1106" spans="32:33" x14ac:dyDescent="0.25">
      <c r="AF1106" s="13"/>
      <c r="AG1106" s="14"/>
    </row>
    <row r="1107" spans="32:33" x14ac:dyDescent="0.25">
      <c r="AF1107" s="13"/>
      <c r="AG1107" s="14"/>
    </row>
    <row r="1108" spans="32:33" x14ac:dyDescent="0.25">
      <c r="AF1108" s="13"/>
      <c r="AG1108" s="14"/>
    </row>
    <row r="1109" spans="32:33" x14ac:dyDescent="0.25">
      <c r="AF1109" s="13"/>
      <c r="AG1109" s="14"/>
    </row>
    <row r="1110" spans="32:33" x14ac:dyDescent="0.25">
      <c r="AF1110" s="13"/>
      <c r="AG1110" s="14"/>
    </row>
    <row r="1111" spans="32:33" x14ac:dyDescent="0.25">
      <c r="AF1111" s="13"/>
      <c r="AG1111" s="14"/>
    </row>
    <row r="1112" spans="32:33" x14ac:dyDescent="0.25">
      <c r="AF1112" s="13"/>
      <c r="AG1112" s="14"/>
    </row>
    <row r="1113" spans="32:33" x14ac:dyDescent="0.25">
      <c r="AF1113" s="13"/>
      <c r="AG1113" s="14"/>
    </row>
    <row r="1114" spans="32:33" x14ac:dyDescent="0.25">
      <c r="AF1114" s="13"/>
      <c r="AG1114" s="14"/>
    </row>
    <row r="1115" spans="32:33" x14ac:dyDescent="0.25">
      <c r="AF1115" s="13"/>
      <c r="AG1115" s="14"/>
    </row>
    <row r="1116" spans="32:33" x14ac:dyDescent="0.25">
      <c r="AF1116" s="13"/>
      <c r="AG1116" s="14"/>
    </row>
    <row r="1117" spans="32:33" x14ac:dyDescent="0.25">
      <c r="AF1117" s="13"/>
      <c r="AG1117" s="14"/>
    </row>
    <row r="1118" spans="32:33" x14ac:dyDescent="0.25">
      <c r="AF1118" s="13"/>
      <c r="AG1118" s="14"/>
    </row>
    <row r="1119" spans="32:33" x14ac:dyDescent="0.25">
      <c r="AF1119" s="13"/>
      <c r="AG1119" s="14"/>
    </row>
    <row r="1120" spans="32:33" x14ac:dyDescent="0.25">
      <c r="AF1120" s="13"/>
      <c r="AG1120" s="14"/>
    </row>
    <row r="1121" spans="32:33" x14ac:dyDescent="0.25">
      <c r="AF1121" s="13"/>
      <c r="AG1121" s="14"/>
    </row>
    <row r="1122" spans="32:33" x14ac:dyDescent="0.25">
      <c r="AF1122" s="13"/>
      <c r="AG1122" s="14"/>
    </row>
    <row r="1123" spans="32:33" x14ac:dyDescent="0.25">
      <c r="AF1123" s="13"/>
      <c r="AG1123" s="14"/>
    </row>
    <row r="1124" spans="32:33" x14ac:dyDescent="0.25">
      <c r="AF1124" s="13"/>
      <c r="AG1124" s="14"/>
    </row>
    <row r="1125" spans="32:33" x14ac:dyDescent="0.25">
      <c r="AF1125" s="13"/>
      <c r="AG1125" s="14"/>
    </row>
    <row r="1126" spans="32:33" x14ac:dyDescent="0.25">
      <c r="AF1126" s="13"/>
      <c r="AG1126" s="14"/>
    </row>
    <row r="1127" spans="32:33" x14ac:dyDescent="0.25">
      <c r="AF1127" s="13"/>
      <c r="AG1127" s="14"/>
    </row>
    <row r="1128" spans="32:33" x14ac:dyDescent="0.25">
      <c r="AF1128" s="13"/>
      <c r="AG1128" s="14"/>
    </row>
    <row r="1129" spans="32:33" x14ac:dyDescent="0.25">
      <c r="AF1129" s="13"/>
      <c r="AG1129" s="14"/>
    </row>
    <row r="1130" spans="32:33" x14ac:dyDescent="0.25">
      <c r="AF1130" s="13"/>
      <c r="AG1130" s="14"/>
    </row>
    <row r="1131" spans="32:33" x14ac:dyDescent="0.25">
      <c r="AF1131" s="13"/>
      <c r="AG1131" s="14"/>
    </row>
    <row r="1132" spans="32:33" x14ac:dyDescent="0.25">
      <c r="AF1132" s="13"/>
      <c r="AG1132" s="14"/>
    </row>
    <row r="1133" spans="32:33" x14ac:dyDescent="0.25">
      <c r="AF1133" s="13"/>
      <c r="AG1133" s="14"/>
    </row>
    <row r="1134" spans="32:33" x14ac:dyDescent="0.25">
      <c r="AF1134" s="13"/>
      <c r="AG1134" s="14"/>
    </row>
    <row r="1135" spans="32:33" x14ac:dyDescent="0.25">
      <c r="AF1135" s="13"/>
      <c r="AG1135" s="14"/>
    </row>
    <row r="1136" spans="32:33" x14ac:dyDescent="0.25">
      <c r="AF1136" s="13"/>
      <c r="AG1136" s="14"/>
    </row>
    <row r="1137" spans="32:33" x14ac:dyDescent="0.25">
      <c r="AF1137" s="13"/>
      <c r="AG1137" s="14"/>
    </row>
    <row r="1138" spans="32:33" x14ac:dyDescent="0.25">
      <c r="AF1138" s="13"/>
      <c r="AG1138" s="14"/>
    </row>
    <row r="1139" spans="32:33" x14ac:dyDescent="0.25">
      <c r="AF1139" s="13"/>
      <c r="AG1139" s="14"/>
    </row>
    <row r="1140" spans="32:33" x14ac:dyDescent="0.25">
      <c r="AF1140" s="13"/>
      <c r="AG1140" s="14"/>
    </row>
    <row r="1141" spans="32:33" x14ac:dyDescent="0.25">
      <c r="AF1141" s="13"/>
      <c r="AG1141" s="14"/>
    </row>
    <row r="1142" spans="32:33" x14ac:dyDescent="0.25">
      <c r="AF1142" s="13"/>
      <c r="AG1142" s="14"/>
    </row>
    <row r="1143" spans="32:33" x14ac:dyDescent="0.25">
      <c r="AF1143" s="13"/>
      <c r="AG1143" s="14"/>
    </row>
    <row r="1144" spans="32:33" x14ac:dyDescent="0.25">
      <c r="AF1144" s="13"/>
      <c r="AG1144" s="14"/>
    </row>
    <row r="1145" spans="32:33" x14ac:dyDescent="0.25">
      <c r="AF1145" s="13"/>
      <c r="AG1145" s="14"/>
    </row>
    <row r="1146" spans="32:33" x14ac:dyDescent="0.25">
      <c r="AF1146" s="13"/>
      <c r="AG1146" s="14"/>
    </row>
    <row r="1147" spans="32:33" x14ac:dyDescent="0.25">
      <c r="AF1147" s="13"/>
      <c r="AG1147" s="14"/>
    </row>
    <row r="1148" spans="32:33" x14ac:dyDescent="0.25">
      <c r="AF1148" s="13"/>
      <c r="AG1148" s="14"/>
    </row>
    <row r="1149" spans="32:33" x14ac:dyDescent="0.25">
      <c r="AF1149" s="13"/>
      <c r="AG1149" s="14"/>
    </row>
    <row r="1150" spans="32:33" x14ac:dyDescent="0.25">
      <c r="AF1150" s="13"/>
      <c r="AG1150" s="14"/>
    </row>
    <row r="1151" spans="32:33" x14ac:dyDescent="0.25">
      <c r="AF1151" s="13"/>
      <c r="AG1151" s="14"/>
    </row>
    <row r="1152" spans="32:33" x14ac:dyDescent="0.25">
      <c r="AF1152" s="13"/>
      <c r="AG1152" s="14"/>
    </row>
    <row r="1153" spans="32:33" x14ac:dyDescent="0.25">
      <c r="AF1153" s="13"/>
      <c r="AG1153" s="14"/>
    </row>
    <row r="1154" spans="32:33" x14ac:dyDescent="0.25">
      <c r="AF1154" s="13"/>
      <c r="AG1154" s="14"/>
    </row>
    <row r="1155" spans="32:33" x14ac:dyDescent="0.25">
      <c r="AF1155" s="13"/>
      <c r="AG1155" s="14"/>
    </row>
    <row r="1156" spans="32:33" x14ac:dyDescent="0.25">
      <c r="AF1156" s="13"/>
      <c r="AG1156" s="14"/>
    </row>
    <row r="1157" spans="32:33" x14ac:dyDescent="0.25">
      <c r="AF1157" s="13"/>
      <c r="AG1157" s="14"/>
    </row>
    <row r="1158" spans="32:33" x14ac:dyDescent="0.25">
      <c r="AF1158" s="13"/>
      <c r="AG1158" s="14"/>
    </row>
    <row r="1159" spans="32:33" x14ac:dyDescent="0.25">
      <c r="AF1159" s="13"/>
      <c r="AG1159" s="14"/>
    </row>
    <row r="1160" spans="32:33" x14ac:dyDescent="0.25">
      <c r="AF1160" s="13"/>
      <c r="AG1160" s="14"/>
    </row>
    <row r="1161" spans="32:33" x14ac:dyDescent="0.25">
      <c r="AF1161" s="13"/>
      <c r="AG1161" s="14"/>
    </row>
    <row r="1162" spans="32:33" x14ac:dyDescent="0.25">
      <c r="AF1162" s="13"/>
      <c r="AG1162" s="14"/>
    </row>
    <row r="1163" spans="32:33" x14ac:dyDescent="0.25">
      <c r="AF1163" s="13"/>
      <c r="AG1163" s="14"/>
    </row>
    <row r="1164" spans="32:33" x14ac:dyDescent="0.25">
      <c r="AF1164" s="13"/>
      <c r="AG1164" s="14"/>
    </row>
    <row r="1165" spans="32:33" x14ac:dyDescent="0.25">
      <c r="AF1165" s="13"/>
      <c r="AG1165" s="14"/>
    </row>
    <row r="1166" spans="32:33" x14ac:dyDescent="0.25">
      <c r="AF1166" s="13"/>
      <c r="AG1166" s="14"/>
    </row>
    <row r="1167" spans="32:33" x14ac:dyDescent="0.25">
      <c r="AF1167" s="13"/>
      <c r="AG1167" s="14"/>
    </row>
    <row r="1168" spans="32:33" x14ac:dyDescent="0.25">
      <c r="AF1168" s="13"/>
      <c r="AG1168" s="14"/>
    </row>
  </sheetData>
  <sheetProtection password="CAAF" sheet="1" objects="1" scenarios="1"/>
  <conditionalFormatting sqref="C213:G216 C218:G221 C224:G225 C228:G231 C234:G238 C240:G240 C242:G244 C246:G411">
    <cfRule type="notContainsBlanks" dxfId="1" priority="33">
      <formula>LEN(TRIM(C213))&gt;0</formula>
    </cfRule>
    <cfRule type="expression" dxfId="0" priority="34">
      <formula>C213=""</formula>
    </cfRule>
  </conditionalFormatting>
  <dataValidations count="2">
    <dataValidation type="list" allowBlank="1" showInputMessage="1" showErrorMessage="1" sqref="E211">
      <formula1>$BS$223:$BS$242</formula1>
    </dataValidation>
    <dataValidation type="list" allowBlank="1" showInputMessage="1" showErrorMessage="1" prompt="SELEZIONA LA REGIONE DI INTERESSE" sqref="E210">
      <formula1>$BS$223:$BS$242</formula1>
    </dataValidation>
  </dataValidations>
  <pageMargins left="0.7" right="0.7" top="0.75" bottom="0.75" header="0.3" footer="0.3"/>
  <pageSetup paperSize="8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7"/>
  <sheetViews>
    <sheetView showGridLines="0" zoomScaleNormal="100" zoomScaleSheetLayoutView="100" workbookViewId="0">
      <pane xSplit="1" ySplit="3" topLeftCell="B23" activePane="bottomRight" state="frozenSplit"/>
      <selection activeCell="B1" sqref="B1"/>
      <selection pane="topRight" activeCell="B1" sqref="B1"/>
      <selection pane="bottomLeft" activeCell="B1" sqref="B1"/>
      <selection pane="bottomRight" activeCell="A30" sqref="A30:XFD30"/>
    </sheetView>
  </sheetViews>
  <sheetFormatPr defaultColWidth="8.5703125" defaultRowHeight="15" x14ac:dyDescent="0.25"/>
  <cols>
    <col min="1" max="1" width="65.5703125" style="40" customWidth="1"/>
    <col min="2" max="2" width="38.5703125" style="41" customWidth="1"/>
    <col min="3" max="3" width="60.42578125" style="40" customWidth="1"/>
    <col min="4" max="4" width="42.28515625" style="40" customWidth="1"/>
    <col min="5" max="16384" width="8.5703125" style="40"/>
  </cols>
  <sheetData>
    <row r="1" spans="1:4" x14ac:dyDescent="0.25">
      <c r="A1" s="46" t="str">
        <f ca="1">MID(CELL("FILENAME",B290),FIND("]",CELL("FILENAME",B290))+1,255)</f>
        <v>Note_Fonti_Calcolo</v>
      </c>
    </row>
    <row r="3" spans="1:4" x14ac:dyDescent="0.25">
      <c r="B3" s="48" t="s">
        <v>26</v>
      </c>
      <c r="C3" s="48" t="s">
        <v>35</v>
      </c>
      <c r="D3" s="48" t="s">
        <v>27</v>
      </c>
    </row>
    <row r="4" spans="1:4" ht="15.75" thickBot="1" x14ac:dyDescent="0.3">
      <c r="B4" s="43"/>
      <c r="D4" s="42"/>
    </row>
    <row r="5" spans="1:4" s="45" customFormat="1" x14ac:dyDescent="0.25">
      <c r="A5" s="64" t="s">
        <v>37</v>
      </c>
      <c r="B5" s="65"/>
      <c r="C5" s="66"/>
      <c r="D5" s="65"/>
    </row>
    <row r="6" spans="1:4" s="45" customFormat="1" ht="22.5" x14ac:dyDescent="0.25">
      <c r="A6" s="67" t="s">
        <v>38</v>
      </c>
      <c r="B6" s="112" t="s">
        <v>83</v>
      </c>
      <c r="C6" s="114"/>
      <c r="D6" s="113"/>
    </row>
    <row r="7" spans="1:4" s="45" customFormat="1" ht="22.5" x14ac:dyDescent="0.25">
      <c r="A7" s="67" t="s">
        <v>40</v>
      </c>
      <c r="B7" s="115" t="s">
        <v>83</v>
      </c>
      <c r="C7" s="117"/>
      <c r="D7" s="116"/>
    </row>
    <row r="8" spans="1:4" s="44" customFormat="1" ht="27" customHeight="1" x14ac:dyDescent="0.25">
      <c r="A8" s="71" t="s">
        <v>41</v>
      </c>
      <c r="B8" s="115" t="s">
        <v>83</v>
      </c>
      <c r="C8" s="119"/>
      <c r="D8" s="118"/>
    </row>
    <row r="9" spans="1:4" s="44" customFormat="1" ht="22.5" x14ac:dyDescent="0.25">
      <c r="A9" s="75" t="s">
        <v>42</v>
      </c>
      <c r="B9" s="120" t="s">
        <v>83</v>
      </c>
      <c r="C9" s="122" t="s">
        <v>84</v>
      </c>
      <c r="D9" s="121"/>
    </row>
    <row r="10" spans="1:4" s="44" customFormat="1" ht="6" customHeight="1" x14ac:dyDescent="0.25">
      <c r="A10" s="79"/>
      <c r="B10" s="133"/>
      <c r="C10" s="131"/>
      <c r="D10" s="134"/>
    </row>
    <row r="11" spans="1:4" s="44" customFormat="1" ht="22.5" x14ac:dyDescent="0.25">
      <c r="A11" s="67" t="s">
        <v>44</v>
      </c>
      <c r="B11" s="112" t="s">
        <v>83</v>
      </c>
      <c r="C11" s="125"/>
      <c r="D11" s="124"/>
    </row>
    <row r="12" spans="1:4" s="44" customFormat="1" ht="22.5" x14ac:dyDescent="0.25">
      <c r="A12" s="67" t="s">
        <v>45</v>
      </c>
      <c r="B12" s="115" t="s">
        <v>83</v>
      </c>
      <c r="C12" s="127"/>
      <c r="D12" s="126"/>
    </row>
    <row r="13" spans="1:4" s="44" customFormat="1" ht="25.5" customHeight="1" x14ac:dyDescent="0.25">
      <c r="A13" s="71" t="s">
        <v>46</v>
      </c>
      <c r="B13" s="115" t="s">
        <v>83</v>
      </c>
      <c r="C13" s="129"/>
      <c r="D13" s="128"/>
    </row>
    <row r="14" spans="1:4" ht="22.5" x14ac:dyDescent="0.25">
      <c r="A14" s="75" t="s">
        <v>47</v>
      </c>
      <c r="B14" s="120" t="s">
        <v>83</v>
      </c>
      <c r="C14" s="122" t="s">
        <v>85</v>
      </c>
      <c r="D14" s="121"/>
    </row>
    <row r="15" spans="1:4" s="44" customFormat="1" ht="15.75" thickBot="1" x14ac:dyDescent="0.3">
      <c r="A15" s="66"/>
      <c r="B15" s="66"/>
      <c r="C15" s="66"/>
      <c r="D15" s="66"/>
    </row>
    <row r="16" spans="1:4" s="44" customFormat="1" ht="15.75" thickBot="1" x14ac:dyDescent="0.3">
      <c r="A16" s="90" t="s">
        <v>48</v>
      </c>
      <c r="B16" s="66"/>
      <c r="C16" s="66"/>
      <c r="D16" s="66"/>
    </row>
    <row r="17" spans="1:4" ht="33.75" x14ac:dyDescent="0.25">
      <c r="A17" s="92" t="s">
        <v>49</v>
      </c>
      <c r="B17" s="120" t="s">
        <v>86</v>
      </c>
      <c r="C17" s="122" t="s">
        <v>87</v>
      </c>
      <c r="D17" s="121"/>
    </row>
    <row r="18" spans="1:4" ht="78.75" x14ac:dyDescent="0.25">
      <c r="A18" s="67" t="s">
        <v>50</v>
      </c>
      <c r="B18" s="120" t="s">
        <v>88</v>
      </c>
      <c r="C18" s="122" t="s">
        <v>90</v>
      </c>
      <c r="D18" s="122" t="s">
        <v>89</v>
      </c>
    </row>
    <row r="19" spans="1:4" ht="30" customHeight="1" thickBot="1" x14ac:dyDescent="0.3">
      <c r="A19" s="66"/>
      <c r="B19" s="66"/>
      <c r="C19" s="66"/>
      <c r="D19" s="66"/>
    </row>
    <row r="20" spans="1:4" ht="30" customHeight="1" thickBot="1" x14ac:dyDescent="0.3">
      <c r="A20" s="97" t="s">
        <v>52</v>
      </c>
      <c r="B20" s="66"/>
      <c r="C20" s="66"/>
      <c r="D20" s="66"/>
    </row>
    <row r="21" spans="1:4" ht="30" customHeight="1" x14ac:dyDescent="0.25">
      <c r="A21" s="142" t="s">
        <v>53</v>
      </c>
      <c r="B21" s="143" t="s">
        <v>88</v>
      </c>
      <c r="C21" s="135" t="s">
        <v>92</v>
      </c>
      <c r="D21" s="135" t="s">
        <v>91</v>
      </c>
    </row>
    <row r="22" spans="1:4" ht="67.5" x14ac:dyDescent="0.25">
      <c r="A22" s="67" t="s">
        <v>54</v>
      </c>
      <c r="B22" s="120" t="s">
        <v>88</v>
      </c>
      <c r="C22" s="122" t="s">
        <v>94</v>
      </c>
      <c r="D22" s="122" t="s">
        <v>93</v>
      </c>
    </row>
    <row r="23" spans="1:4" ht="123.75" x14ac:dyDescent="0.25">
      <c r="A23" s="144" t="s">
        <v>55</v>
      </c>
      <c r="B23" s="143" t="s">
        <v>88</v>
      </c>
      <c r="C23" s="135" t="s">
        <v>96</v>
      </c>
      <c r="D23" s="135" t="s">
        <v>95</v>
      </c>
    </row>
    <row r="24" spans="1:4" ht="112.5" x14ac:dyDescent="0.25">
      <c r="A24" s="144" t="s">
        <v>56</v>
      </c>
      <c r="B24" s="143" t="s">
        <v>88</v>
      </c>
      <c r="C24" s="135" t="s">
        <v>98</v>
      </c>
      <c r="D24" s="135" t="s">
        <v>97</v>
      </c>
    </row>
    <row r="25" spans="1:4" ht="15.75" thickBot="1" x14ac:dyDescent="0.3">
      <c r="A25" s="66"/>
      <c r="B25" s="66"/>
      <c r="C25" s="66"/>
      <c r="D25" s="66"/>
    </row>
    <row r="26" spans="1:4" ht="15.75" thickBot="1" x14ac:dyDescent="0.3">
      <c r="A26" s="97" t="s">
        <v>57</v>
      </c>
      <c r="B26" s="110"/>
      <c r="C26" s="66"/>
      <c r="D26" s="111"/>
    </row>
    <row r="27" spans="1:4" ht="25.5" x14ac:dyDescent="0.25">
      <c r="A27" s="101" t="s">
        <v>58</v>
      </c>
      <c r="B27" s="120" t="s">
        <v>88</v>
      </c>
      <c r="C27" s="122" t="s">
        <v>99</v>
      </c>
      <c r="D27" s="123"/>
    </row>
    <row r="28" spans="1:4" ht="22.5" x14ac:dyDescent="0.25">
      <c r="A28" s="101" t="s">
        <v>59</v>
      </c>
      <c r="B28" s="120" t="s">
        <v>88</v>
      </c>
      <c r="C28" s="122" t="s">
        <v>100</v>
      </c>
      <c r="D28" s="123"/>
    </row>
    <row r="29" spans="1:4" ht="25.5" x14ac:dyDescent="0.25">
      <c r="A29" s="101" t="s">
        <v>60</v>
      </c>
      <c r="B29" s="120" t="s">
        <v>88</v>
      </c>
      <c r="C29" s="122" t="s">
        <v>101</v>
      </c>
      <c r="D29" s="123"/>
    </row>
    <row r="30" spans="1:4" ht="22.5" x14ac:dyDescent="0.25">
      <c r="A30" s="101" t="s">
        <v>61</v>
      </c>
      <c r="B30" s="120" t="s">
        <v>88</v>
      </c>
      <c r="C30" s="122" t="s">
        <v>102</v>
      </c>
      <c r="D30" s="123"/>
    </row>
    <row r="31" spans="1:4" ht="21" customHeight="1" x14ac:dyDescent="0.25">
      <c r="A31" s="101" t="s">
        <v>62</v>
      </c>
      <c r="B31" s="120" t="s">
        <v>88</v>
      </c>
      <c r="C31" s="122" t="s">
        <v>103</v>
      </c>
      <c r="D31" s="123"/>
    </row>
    <row r="32" spans="1:4" ht="6" customHeight="1" x14ac:dyDescent="0.25">
      <c r="A32" s="103"/>
      <c r="B32" s="133"/>
      <c r="C32" s="132"/>
      <c r="D32" s="134"/>
    </row>
    <row r="33" spans="1:4" ht="22.5" x14ac:dyDescent="0.25">
      <c r="A33" s="101" t="s">
        <v>63</v>
      </c>
      <c r="B33" s="120" t="s">
        <v>104</v>
      </c>
      <c r="C33" s="122" t="s">
        <v>105</v>
      </c>
      <c r="D33" s="159"/>
    </row>
    <row r="34" spans="1:4" ht="6" customHeight="1" x14ac:dyDescent="0.25">
      <c r="A34" s="105"/>
      <c r="B34" s="133"/>
      <c r="C34" s="132"/>
      <c r="D34" s="134"/>
    </row>
    <row r="35" spans="1:4" x14ac:dyDescent="0.25">
      <c r="A35" s="101" t="s">
        <v>64</v>
      </c>
      <c r="B35" s="120" t="s">
        <v>106</v>
      </c>
      <c r="C35" s="122" t="s">
        <v>107</v>
      </c>
      <c r="D35" s="130"/>
    </row>
    <row r="36" spans="1:4" ht="24" customHeight="1" x14ac:dyDescent="0.25">
      <c r="A36" s="101" t="s">
        <v>65</v>
      </c>
      <c r="B36" s="120" t="s">
        <v>106</v>
      </c>
      <c r="C36" s="122" t="s">
        <v>108</v>
      </c>
      <c r="D36" s="130"/>
    </row>
    <row r="37" spans="1:4" ht="22.5" x14ac:dyDescent="0.25">
      <c r="A37" s="101" t="s">
        <v>66</v>
      </c>
      <c r="B37" s="120" t="s">
        <v>106</v>
      </c>
      <c r="C37" s="122" t="s">
        <v>109</v>
      </c>
      <c r="D37" s="130"/>
    </row>
    <row r="38" spans="1:4" ht="6" customHeight="1" x14ac:dyDescent="0.25">
      <c r="A38" s="103"/>
      <c r="B38" s="133"/>
      <c r="C38" s="131"/>
      <c r="D38" s="133"/>
    </row>
    <row r="39" spans="1:4" ht="22.5" x14ac:dyDescent="0.25">
      <c r="A39" s="101" t="s">
        <v>67</v>
      </c>
      <c r="B39" s="120" t="s">
        <v>110</v>
      </c>
      <c r="C39" s="122" t="s">
        <v>111</v>
      </c>
      <c r="D39" s="121"/>
    </row>
    <row r="40" spans="1:4" ht="22.5" x14ac:dyDescent="0.25">
      <c r="A40" s="101" t="s">
        <v>68</v>
      </c>
      <c r="B40" s="120" t="s">
        <v>110</v>
      </c>
      <c r="C40" s="122" t="s">
        <v>112</v>
      </c>
      <c r="D40" s="121"/>
    </row>
    <row r="41" spans="1:4" ht="22.5" x14ac:dyDescent="0.25">
      <c r="A41" s="101" t="s">
        <v>69</v>
      </c>
      <c r="B41" s="120" t="s">
        <v>110</v>
      </c>
      <c r="C41" s="122" t="s">
        <v>113</v>
      </c>
      <c r="D41" s="121"/>
    </row>
    <row r="42" spans="1:4" ht="27" customHeight="1" x14ac:dyDescent="0.25">
      <c r="A42" s="101" t="s">
        <v>70</v>
      </c>
      <c r="B42" s="120" t="s">
        <v>110</v>
      </c>
      <c r="C42" s="122" t="s">
        <v>114</v>
      </c>
      <c r="D42" s="121"/>
    </row>
    <row r="43" spans="1:4" ht="23.25" customHeight="1" x14ac:dyDescent="0.25">
      <c r="A43" s="101" t="s">
        <v>71</v>
      </c>
      <c r="B43" s="120" t="s">
        <v>110</v>
      </c>
      <c r="C43" s="122" t="s">
        <v>115</v>
      </c>
      <c r="D43" s="121"/>
    </row>
    <row r="44" spans="1:4" ht="22.5" x14ac:dyDescent="0.25">
      <c r="A44" s="101" t="s">
        <v>72</v>
      </c>
      <c r="B44" s="120" t="s">
        <v>110</v>
      </c>
      <c r="C44" s="122" t="s">
        <v>116</v>
      </c>
      <c r="D44" s="121"/>
    </row>
    <row r="45" spans="1:4" ht="22.5" x14ac:dyDescent="0.25">
      <c r="A45" s="101" t="s">
        <v>73</v>
      </c>
      <c r="B45" s="120" t="s">
        <v>110</v>
      </c>
      <c r="C45" s="122" t="s">
        <v>117</v>
      </c>
      <c r="D45" s="121"/>
    </row>
    <row r="46" spans="1:4" ht="22.5" x14ac:dyDescent="0.25">
      <c r="A46" s="101" t="s">
        <v>74</v>
      </c>
      <c r="B46" s="120" t="s">
        <v>110</v>
      </c>
      <c r="C46" s="122" t="s">
        <v>118</v>
      </c>
      <c r="D46" s="121"/>
    </row>
    <row r="47" spans="1:4" ht="22.5" x14ac:dyDescent="0.25">
      <c r="A47" s="101" t="s">
        <v>75</v>
      </c>
      <c r="B47" s="120" t="s">
        <v>110</v>
      </c>
      <c r="C47" s="122" t="s">
        <v>119</v>
      </c>
      <c r="D47" s="121"/>
    </row>
    <row r="48" spans="1:4" ht="22.5" x14ac:dyDescent="0.25">
      <c r="A48" s="101" t="s">
        <v>76</v>
      </c>
      <c r="B48" s="120" t="s">
        <v>110</v>
      </c>
      <c r="C48" s="122" t="s">
        <v>120</v>
      </c>
      <c r="D48" s="121"/>
    </row>
    <row r="49" spans="1:4" ht="28.5" customHeight="1" x14ac:dyDescent="0.25">
      <c r="A49" s="101" t="s">
        <v>77</v>
      </c>
      <c r="B49" s="120" t="s">
        <v>110</v>
      </c>
      <c r="C49" s="122" t="s">
        <v>121</v>
      </c>
      <c r="D49" s="121"/>
    </row>
    <row r="50" spans="1:4" ht="29.25" customHeight="1" x14ac:dyDescent="0.25">
      <c r="A50" s="101" t="s">
        <v>78</v>
      </c>
      <c r="B50" s="120" t="s">
        <v>110</v>
      </c>
      <c r="C50" s="122" t="s">
        <v>122</v>
      </c>
      <c r="D50" s="121"/>
    </row>
    <row r="51" spans="1:4" ht="22.5" x14ac:dyDescent="0.25">
      <c r="A51" s="101" t="s">
        <v>79</v>
      </c>
      <c r="B51" s="120" t="s">
        <v>110</v>
      </c>
      <c r="C51" s="122" t="s">
        <v>123</v>
      </c>
      <c r="D51" s="121"/>
    </row>
    <row r="52" spans="1:4" ht="22.5" x14ac:dyDescent="0.25">
      <c r="A52" s="101" t="s">
        <v>80</v>
      </c>
      <c r="B52" s="120" t="s">
        <v>110</v>
      </c>
      <c r="C52" s="122" t="s">
        <v>124</v>
      </c>
      <c r="D52" s="121"/>
    </row>
    <row r="53" spans="1:4" ht="22.5" x14ac:dyDescent="0.25">
      <c r="A53" s="101" t="s">
        <v>81</v>
      </c>
      <c r="B53" s="120" t="s">
        <v>110</v>
      </c>
      <c r="C53" s="122" t="s">
        <v>125</v>
      </c>
      <c r="D53" s="121"/>
    </row>
    <row r="54" spans="1:4" ht="22.5" x14ac:dyDescent="0.25">
      <c r="A54" s="101" t="s">
        <v>82</v>
      </c>
      <c r="B54" s="120" t="s">
        <v>110</v>
      </c>
      <c r="C54" s="122" t="s">
        <v>126</v>
      </c>
      <c r="D54" s="121"/>
    </row>
    <row r="55" spans="1:4" x14ac:dyDescent="0.25">
      <c r="B55" s="43"/>
      <c r="D55" s="42"/>
    </row>
    <row r="56" spans="1:4" x14ac:dyDescent="0.25">
      <c r="B56" s="43"/>
      <c r="D56" s="42"/>
    </row>
    <row r="57" spans="1:4" x14ac:dyDescent="0.25">
      <c r="B57" s="43"/>
      <c r="D57" s="42"/>
    </row>
    <row r="58" spans="1:4" x14ac:dyDescent="0.25">
      <c r="B58" s="43"/>
      <c r="D58" s="42"/>
    </row>
    <row r="59" spans="1:4" x14ac:dyDescent="0.25">
      <c r="B59" s="43"/>
      <c r="D59" s="42"/>
    </row>
    <row r="60" spans="1:4" x14ac:dyDescent="0.25">
      <c r="B60" s="43"/>
      <c r="D60" s="42"/>
    </row>
    <row r="61" spans="1:4" x14ac:dyDescent="0.25">
      <c r="B61" s="43"/>
      <c r="D61" s="42"/>
    </row>
    <row r="62" spans="1:4" x14ac:dyDescent="0.25">
      <c r="B62" s="43"/>
      <c r="D62" s="42"/>
    </row>
    <row r="63" spans="1:4" x14ac:dyDescent="0.25">
      <c r="B63" s="43"/>
      <c r="D63" s="42"/>
    </row>
    <row r="64" spans="1:4" x14ac:dyDescent="0.25">
      <c r="B64" s="43"/>
      <c r="D64" s="42"/>
    </row>
    <row r="65" spans="2:4" x14ac:dyDescent="0.25">
      <c r="B65" s="43"/>
      <c r="D65" s="42"/>
    </row>
    <row r="66" spans="2:4" x14ac:dyDescent="0.25">
      <c r="B66" s="43"/>
      <c r="D66" s="42"/>
    </row>
    <row r="67" spans="2:4" x14ac:dyDescent="0.25">
      <c r="B67" s="43"/>
      <c r="D67" s="42"/>
    </row>
    <row r="68" spans="2:4" x14ac:dyDescent="0.25">
      <c r="B68" s="43"/>
      <c r="D68" s="42"/>
    </row>
    <row r="69" spans="2:4" x14ac:dyDescent="0.25">
      <c r="B69" s="43"/>
      <c r="D69" s="42"/>
    </row>
    <row r="70" spans="2:4" x14ac:dyDescent="0.25">
      <c r="B70" s="43"/>
      <c r="D70" s="42"/>
    </row>
    <row r="71" spans="2:4" x14ac:dyDescent="0.25">
      <c r="B71" s="43"/>
      <c r="D71" s="42"/>
    </row>
    <row r="72" spans="2:4" x14ac:dyDescent="0.25">
      <c r="B72" s="43"/>
      <c r="D72" s="42"/>
    </row>
    <row r="73" spans="2:4" x14ac:dyDescent="0.25">
      <c r="B73" s="43"/>
      <c r="D73" s="42"/>
    </row>
    <row r="74" spans="2:4" x14ac:dyDescent="0.25">
      <c r="B74" s="43"/>
      <c r="D74" s="42"/>
    </row>
    <row r="75" spans="2:4" x14ac:dyDescent="0.25">
      <c r="B75" s="43"/>
      <c r="D75" s="42"/>
    </row>
    <row r="76" spans="2:4" x14ac:dyDescent="0.25">
      <c r="B76" s="43"/>
      <c r="D76" s="42"/>
    </row>
    <row r="77" spans="2:4" x14ac:dyDescent="0.25">
      <c r="B77" s="43"/>
      <c r="D77" s="42"/>
    </row>
    <row r="78" spans="2:4" x14ac:dyDescent="0.25">
      <c r="B78" s="43"/>
      <c r="D78" s="42"/>
    </row>
    <row r="79" spans="2:4" x14ac:dyDescent="0.25">
      <c r="B79" s="43"/>
      <c r="D79" s="42"/>
    </row>
    <row r="80" spans="2:4" x14ac:dyDescent="0.25">
      <c r="B80" s="43"/>
      <c r="D80" s="42"/>
    </row>
    <row r="81" spans="2:4" x14ac:dyDescent="0.25">
      <c r="B81" s="43"/>
      <c r="D81" s="42"/>
    </row>
    <row r="82" spans="2:4" x14ac:dyDescent="0.25">
      <c r="B82" s="43"/>
      <c r="D82" s="42"/>
    </row>
    <row r="83" spans="2:4" x14ac:dyDescent="0.25">
      <c r="B83" s="43"/>
      <c r="D83" s="42"/>
    </row>
    <row r="84" spans="2:4" x14ac:dyDescent="0.25">
      <c r="B84" s="43"/>
      <c r="D84" s="42"/>
    </row>
    <row r="85" spans="2:4" x14ac:dyDescent="0.25">
      <c r="B85" s="43"/>
      <c r="D85" s="42"/>
    </row>
    <row r="86" spans="2:4" x14ac:dyDescent="0.25">
      <c r="B86" s="43"/>
      <c r="D86" s="42"/>
    </row>
    <row r="87" spans="2:4" x14ac:dyDescent="0.25">
      <c r="B87" s="43"/>
      <c r="D87" s="42"/>
    </row>
    <row r="88" spans="2:4" x14ac:dyDescent="0.25">
      <c r="B88" s="43"/>
      <c r="D88" s="42"/>
    </row>
    <row r="89" spans="2:4" x14ac:dyDescent="0.25">
      <c r="B89" s="43"/>
      <c r="D89" s="42"/>
    </row>
    <row r="90" spans="2:4" x14ac:dyDescent="0.25">
      <c r="B90" s="43"/>
      <c r="D90" s="42"/>
    </row>
    <row r="91" spans="2:4" x14ac:dyDescent="0.25">
      <c r="B91" s="43"/>
      <c r="D91" s="42"/>
    </row>
    <row r="92" spans="2:4" x14ac:dyDescent="0.25">
      <c r="B92" s="43"/>
      <c r="D92" s="42"/>
    </row>
    <row r="93" spans="2:4" x14ac:dyDescent="0.25">
      <c r="B93" s="43"/>
      <c r="D93" s="42"/>
    </row>
    <row r="94" spans="2:4" x14ac:dyDescent="0.25">
      <c r="B94" s="43"/>
      <c r="D94" s="42"/>
    </row>
    <row r="95" spans="2:4" x14ac:dyDescent="0.25">
      <c r="B95" s="43"/>
      <c r="D95" s="42"/>
    </row>
    <row r="96" spans="2:4" x14ac:dyDescent="0.25">
      <c r="B96" s="43"/>
      <c r="D96" s="42"/>
    </row>
    <row r="97" spans="2:4" x14ac:dyDescent="0.25">
      <c r="B97" s="43"/>
      <c r="D97" s="42"/>
    </row>
    <row r="98" spans="2:4" x14ac:dyDescent="0.25">
      <c r="B98" s="43"/>
      <c r="D98" s="42"/>
    </row>
    <row r="99" spans="2:4" x14ac:dyDescent="0.25">
      <c r="B99" s="43"/>
      <c r="D99" s="42"/>
    </row>
    <row r="100" spans="2:4" x14ac:dyDescent="0.25">
      <c r="B100" s="43"/>
      <c r="D100" s="42"/>
    </row>
    <row r="101" spans="2:4" x14ac:dyDescent="0.25">
      <c r="B101" s="43"/>
      <c r="D101" s="42"/>
    </row>
    <row r="102" spans="2:4" x14ac:dyDescent="0.25">
      <c r="B102" s="43"/>
      <c r="D102" s="42"/>
    </row>
    <row r="103" spans="2:4" x14ac:dyDescent="0.25">
      <c r="B103" s="43"/>
      <c r="D103" s="42"/>
    </row>
    <row r="104" spans="2:4" x14ac:dyDescent="0.25">
      <c r="B104" s="43"/>
      <c r="D104" s="42"/>
    </row>
    <row r="105" spans="2:4" x14ac:dyDescent="0.25">
      <c r="B105" s="43"/>
      <c r="D105" s="42"/>
    </row>
    <row r="106" spans="2:4" x14ac:dyDescent="0.25">
      <c r="B106" s="43"/>
      <c r="D106" s="42"/>
    </row>
    <row r="107" spans="2:4" x14ac:dyDescent="0.25">
      <c r="B107" s="43"/>
      <c r="D107" s="42"/>
    </row>
    <row r="108" spans="2:4" x14ac:dyDescent="0.25">
      <c r="B108" s="43"/>
      <c r="D108" s="42"/>
    </row>
    <row r="109" spans="2:4" x14ac:dyDescent="0.25">
      <c r="B109" s="43"/>
      <c r="D109" s="42"/>
    </row>
    <row r="110" spans="2:4" x14ac:dyDescent="0.25">
      <c r="B110" s="43"/>
      <c r="D110" s="42"/>
    </row>
    <row r="111" spans="2:4" x14ac:dyDescent="0.25">
      <c r="B111" s="43"/>
      <c r="D111" s="42"/>
    </row>
    <row r="112" spans="2:4" x14ac:dyDescent="0.25">
      <c r="B112" s="43"/>
      <c r="D112" s="42"/>
    </row>
    <row r="113" spans="2:4" x14ac:dyDescent="0.25">
      <c r="B113" s="43"/>
      <c r="D113" s="42"/>
    </row>
    <row r="114" spans="2:4" x14ac:dyDescent="0.25">
      <c r="B114" s="43"/>
      <c r="D114" s="42"/>
    </row>
    <row r="115" spans="2:4" x14ac:dyDescent="0.25">
      <c r="B115" s="43"/>
      <c r="D115" s="42"/>
    </row>
    <row r="116" spans="2:4" x14ac:dyDescent="0.25">
      <c r="B116" s="43"/>
      <c r="D116" s="42"/>
    </row>
    <row r="117" spans="2:4" x14ac:dyDescent="0.25">
      <c r="B117" s="43"/>
      <c r="D117" s="42"/>
    </row>
    <row r="118" spans="2:4" x14ac:dyDescent="0.25">
      <c r="B118" s="43"/>
      <c r="D118" s="42"/>
    </row>
    <row r="119" spans="2:4" x14ac:dyDescent="0.25">
      <c r="B119" s="43"/>
      <c r="D119" s="42"/>
    </row>
    <row r="120" spans="2:4" x14ac:dyDescent="0.25">
      <c r="B120" s="43"/>
      <c r="D120" s="42"/>
    </row>
    <row r="121" spans="2:4" x14ac:dyDescent="0.25">
      <c r="B121" s="43"/>
      <c r="D121" s="42"/>
    </row>
    <row r="122" spans="2:4" x14ac:dyDescent="0.25">
      <c r="B122" s="43"/>
      <c r="D122" s="42"/>
    </row>
    <row r="123" spans="2:4" x14ac:dyDescent="0.25">
      <c r="B123" s="43"/>
      <c r="D123" s="42"/>
    </row>
    <row r="124" spans="2:4" x14ac:dyDescent="0.25">
      <c r="B124" s="43"/>
      <c r="D124" s="42"/>
    </row>
    <row r="125" spans="2:4" x14ac:dyDescent="0.25">
      <c r="B125" s="43"/>
      <c r="D125" s="42"/>
    </row>
    <row r="126" spans="2:4" x14ac:dyDescent="0.25">
      <c r="B126" s="43"/>
      <c r="D126" s="42"/>
    </row>
    <row r="127" spans="2:4" x14ac:dyDescent="0.25">
      <c r="B127" s="43"/>
      <c r="D127" s="42"/>
    </row>
    <row r="128" spans="2:4" x14ac:dyDescent="0.25">
      <c r="B128" s="43"/>
      <c r="D128" s="42"/>
    </row>
    <row r="129" spans="2:4" x14ac:dyDescent="0.25">
      <c r="B129" s="43"/>
      <c r="D129" s="42"/>
    </row>
    <row r="130" spans="2:4" x14ac:dyDescent="0.25">
      <c r="B130" s="43"/>
      <c r="D130" s="42"/>
    </row>
    <row r="131" spans="2:4" x14ac:dyDescent="0.25">
      <c r="B131" s="43"/>
      <c r="D131" s="42"/>
    </row>
    <row r="132" spans="2:4" x14ac:dyDescent="0.25">
      <c r="B132" s="43"/>
      <c r="D132" s="42"/>
    </row>
    <row r="133" spans="2:4" x14ac:dyDescent="0.25">
      <c r="B133" s="43"/>
      <c r="D133" s="42"/>
    </row>
    <row r="134" spans="2:4" x14ac:dyDescent="0.25">
      <c r="B134" s="43"/>
      <c r="D134" s="42"/>
    </row>
    <row r="135" spans="2:4" x14ac:dyDescent="0.25">
      <c r="B135" s="43"/>
      <c r="D135" s="42"/>
    </row>
    <row r="136" spans="2:4" x14ac:dyDescent="0.25">
      <c r="B136" s="43"/>
      <c r="D136" s="42"/>
    </row>
    <row r="137" spans="2:4" x14ac:dyDescent="0.25">
      <c r="B137" s="43"/>
      <c r="D137" s="42"/>
    </row>
    <row r="138" spans="2:4" x14ac:dyDescent="0.25">
      <c r="B138" s="43"/>
      <c r="D138" s="42"/>
    </row>
    <row r="139" spans="2:4" x14ac:dyDescent="0.25">
      <c r="B139" s="43"/>
      <c r="D139" s="42"/>
    </row>
    <row r="140" spans="2:4" x14ac:dyDescent="0.25">
      <c r="B140" s="43"/>
      <c r="D140" s="42"/>
    </row>
    <row r="141" spans="2:4" x14ac:dyDescent="0.25">
      <c r="B141" s="43"/>
      <c r="D141" s="42"/>
    </row>
    <row r="142" spans="2:4" x14ac:dyDescent="0.25">
      <c r="B142" s="43"/>
      <c r="D142" s="42"/>
    </row>
    <row r="143" spans="2:4" x14ac:dyDescent="0.25">
      <c r="B143" s="43"/>
      <c r="D143" s="42"/>
    </row>
    <row r="144" spans="2:4" x14ac:dyDescent="0.25">
      <c r="B144" s="43"/>
      <c r="D144" s="42"/>
    </row>
    <row r="145" spans="2:4" x14ac:dyDescent="0.25">
      <c r="B145" s="43"/>
      <c r="D145" s="42"/>
    </row>
    <row r="146" spans="2:4" x14ac:dyDescent="0.25">
      <c r="B146" s="43"/>
      <c r="D146" s="42"/>
    </row>
    <row r="147" spans="2:4" x14ac:dyDescent="0.25">
      <c r="B147" s="43"/>
      <c r="D147" s="42"/>
    </row>
    <row r="148" spans="2:4" x14ac:dyDescent="0.25">
      <c r="B148" s="43"/>
      <c r="D148" s="42"/>
    </row>
    <row r="149" spans="2:4" x14ac:dyDescent="0.25">
      <c r="B149" s="43"/>
      <c r="D149" s="42"/>
    </row>
    <row r="150" spans="2:4" x14ac:dyDescent="0.25">
      <c r="B150" s="43"/>
      <c r="D150" s="42"/>
    </row>
    <row r="151" spans="2:4" x14ac:dyDescent="0.25">
      <c r="B151" s="43"/>
      <c r="D151" s="42"/>
    </row>
    <row r="152" spans="2:4" x14ac:dyDescent="0.25">
      <c r="B152" s="43"/>
      <c r="D152" s="42"/>
    </row>
    <row r="153" spans="2:4" x14ac:dyDescent="0.25">
      <c r="B153" s="43"/>
      <c r="D153" s="42"/>
    </row>
    <row r="154" spans="2:4" x14ac:dyDescent="0.25">
      <c r="B154" s="43"/>
      <c r="D154" s="42"/>
    </row>
    <row r="155" spans="2:4" x14ac:dyDescent="0.25">
      <c r="B155" s="43"/>
      <c r="D155" s="42"/>
    </row>
    <row r="156" spans="2:4" x14ac:dyDescent="0.25">
      <c r="B156" s="43"/>
      <c r="D156" s="42"/>
    </row>
    <row r="157" spans="2:4" x14ac:dyDescent="0.25">
      <c r="B157" s="43"/>
      <c r="D157" s="42"/>
    </row>
    <row r="158" spans="2:4" x14ac:dyDescent="0.25">
      <c r="B158" s="43"/>
      <c r="D158" s="42"/>
    </row>
    <row r="159" spans="2:4" x14ac:dyDescent="0.25">
      <c r="B159" s="43"/>
      <c r="D159" s="42"/>
    </row>
    <row r="160" spans="2:4" x14ac:dyDescent="0.25">
      <c r="B160" s="43"/>
      <c r="D160" s="42"/>
    </row>
    <row r="161" spans="2:4" x14ac:dyDescent="0.25">
      <c r="B161" s="43"/>
      <c r="D161" s="42"/>
    </row>
    <row r="162" spans="2:4" x14ac:dyDescent="0.25">
      <c r="B162" s="43"/>
      <c r="D162" s="42"/>
    </row>
    <row r="163" spans="2:4" x14ac:dyDescent="0.25">
      <c r="B163" s="43"/>
      <c r="D163" s="42"/>
    </row>
    <row r="164" spans="2:4" x14ac:dyDescent="0.25">
      <c r="B164" s="43"/>
      <c r="D164" s="42"/>
    </row>
    <row r="165" spans="2:4" x14ac:dyDescent="0.25">
      <c r="B165" s="43"/>
      <c r="D165" s="42"/>
    </row>
    <row r="166" spans="2:4" x14ac:dyDescent="0.25">
      <c r="B166" s="43"/>
      <c r="D166" s="42"/>
    </row>
    <row r="167" spans="2:4" x14ac:dyDescent="0.25">
      <c r="B167" s="43"/>
      <c r="D167" s="42"/>
    </row>
    <row r="168" spans="2:4" x14ac:dyDescent="0.25">
      <c r="B168" s="43"/>
      <c r="D168" s="42"/>
    </row>
    <row r="169" spans="2:4" x14ac:dyDescent="0.25">
      <c r="B169" s="43"/>
      <c r="D169" s="42"/>
    </row>
    <row r="170" spans="2:4" x14ac:dyDescent="0.25">
      <c r="B170" s="43"/>
      <c r="D170" s="42"/>
    </row>
    <row r="171" spans="2:4" x14ac:dyDescent="0.25">
      <c r="B171" s="43"/>
      <c r="D171" s="42"/>
    </row>
    <row r="172" spans="2:4" x14ac:dyDescent="0.25">
      <c r="B172" s="43"/>
      <c r="D172" s="42"/>
    </row>
    <row r="173" spans="2:4" x14ac:dyDescent="0.25">
      <c r="B173" s="43"/>
      <c r="D173" s="42"/>
    </row>
    <row r="174" spans="2:4" x14ac:dyDescent="0.25">
      <c r="B174" s="43"/>
      <c r="D174" s="42"/>
    </row>
    <row r="175" spans="2:4" x14ac:dyDescent="0.25">
      <c r="B175" s="43"/>
      <c r="D175" s="42"/>
    </row>
    <row r="176" spans="2:4" x14ac:dyDescent="0.25">
      <c r="B176" s="43"/>
      <c r="D176" s="42"/>
    </row>
    <row r="177" spans="2:4" x14ac:dyDescent="0.25">
      <c r="B177" s="43"/>
      <c r="D177" s="42"/>
    </row>
    <row r="178" spans="2:4" x14ac:dyDescent="0.25">
      <c r="B178" s="43"/>
      <c r="D178" s="42"/>
    </row>
    <row r="179" spans="2:4" x14ac:dyDescent="0.25">
      <c r="B179" s="43"/>
      <c r="D179" s="42"/>
    </row>
    <row r="180" spans="2:4" x14ac:dyDescent="0.25">
      <c r="B180" s="43"/>
      <c r="D180" s="42"/>
    </row>
    <row r="181" spans="2:4" x14ac:dyDescent="0.25">
      <c r="B181" s="43"/>
      <c r="D181" s="42"/>
    </row>
    <row r="182" spans="2:4" x14ac:dyDescent="0.25">
      <c r="B182" s="43"/>
      <c r="D182" s="42"/>
    </row>
    <row r="183" spans="2:4" x14ac:dyDescent="0.25">
      <c r="B183" s="43"/>
      <c r="D183" s="42"/>
    </row>
    <row r="184" spans="2:4" x14ac:dyDescent="0.25">
      <c r="B184" s="43"/>
      <c r="D184" s="42"/>
    </row>
    <row r="185" spans="2:4" x14ac:dyDescent="0.25">
      <c r="B185" s="43"/>
      <c r="D185" s="42"/>
    </row>
    <row r="186" spans="2:4" x14ac:dyDescent="0.25">
      <c r="B186" s="43"/>
      <c r="D186" s="42"/>
    </row>
    <row r="187" spans="2:4" x14ac:dyDescent="0.25">
      <c r="B187" s="43"/>
      <c r="D187" s="42"/>
    </row>
    <row r="188" spans="2:4" x14ac:dyDescent="0.25">
      <c r="B188" s="43"/>
      <c r="D188" s="42"/>
    </row>
    <row r="189" spans="2:4" x14ac:dyDescent="0.25">
      <c r="B189" s="43"/>
      <c r="D189" s="42"/>
    </row>
    <row r="190" spans="2:4" x14ac:dyDescent="0.25">
      <c r="B190" s="43"/>
      <c r="D190" s="42"/>
    </row>
    <row r="191" spans="2:4" x14ac:dyDescent="0.25">
      <c r="B191" s="43"/>
      <c r="D191" s="42"/>
    </row>
    <row r="192" spans="2:4" x14ac:dyDescent="0.25">
      <c r="B192" s="43"/>
      <c r="D192" s="42"/>
    </row>
    <row r="193" spans="2:4" x14ac:dyDescent="0.25">
      <c r="B193" s="43"/>
      <c r="D193" s="42"/>
    </row>
    <row r="194" spans="2:4" x14ac:dyDescent="0.25">
      <c r="B194" s="43"/>
      <c r="D194" s="42"/>
    </row>
    <row r="195" spans="2:4" x14ac:dyDescent="0.25">
      <c r="B195" s="43"/>
      <c r="D195" s="42"/>
    </row>
    <row r="196" spans="2:4" x14ac:dyDescent="0.25">
      <c r="B196" s="43"/>
      <c r="D196" s="42"/>
    </row>
    <row r="197" spans="2:4" x14ac:dyDescent="0.25">
      <c r="B197" s="43"/>
      <c r="D197" s="42"/>
    </row>
    <row r="198" spans="2:4" x14ac:dyDescent="0.25">
      <c r="B198" s="43"/>
      <c r="D198" s="42"/>
    </row>
    <row r="199" spans="2:4" x14ac:dyDescent="0.25">
      <c r="B199" s="43"/>
      <c r="D199" s="42"/>
    </row>
    <row r="200" spans="2:4" x14ac:dyDescent="0.25">
      <c r="B200" s="43"/>
      <c r="D200" s="42"/>
    </row>
    <row r="201" spans="2:4" x14ac:dyDescent="0.25">
      <c r="B201" s="43"/>
      <c r="D201" s="42"/>
    </row>
    <row r="202" spans="2:4" x14ac:dyDescent="0.25">
      <c r="B202" s="43"/>
      <c r="D202" s="42"/>
    </row>
    <row r="203" spans="2:4" x14ac:dyDescent="0.25">
      <c r="B203" s="43"/>
      <c r="D203" s="42"/>
    </row>
    <row r="204" spans="2:4" x14ac:dyDescent="0.25">
      <c r="B204" s="43"/>
      <c r="D204" s="42"/>
    </row>
    <row r="205" spans="2:4" x14ac:dyDescent="0.25">
      <c r="B205" s="43"/>
      <c r="D205" s="42"/>
    </row>
    <row r="206" spans="2:4" x14ac:dyDescent="0.25">
      <c r="B206" s="43"/>
      <c r="D206" s="42"/>
    </row>
    <row r="207" spans="2:4" x14ac:dyDescent="0.25">
      <c r="B207" s="43"/>
      <c r="D207" s="42"/>
    </row>
    <row r="208" spans="2:4" x14ac:dyDescent="0.25">
      <c r="B208" s="43"/>
      <c r="D208" s="42"/>
    </row>
    <row r="209" spans="2:4" x14ac:dyDescent="0.25">
      <c r="B209" s="43"/>
      <c r="D209" s="42"/>
    </row>
    <row r="210" spans="2:4" x14ac:dyDescent="0.25">
      <c r="B210" s="43"/>
      <c r="D210" s="42"/>
    </row>
    <row r="211" spans="2:4" x14ac:dyDescent="0.25">
      <c r="B211" s="43"/>
      <c r="D211" s="42"/>
    </row>
    <row r="212" spans="2:4" x14ac:dyDescent="0.25">
      <c r="B212" s="43"/>
      <c r="D212" s="42"/>
    </row>
    <row r="213" spans="2:4" x14ac:dyDescent="0.25">
      <c r="B213" s="43"/>
      <c r="D213" s="42"/>
    </row>
    <row r="214" spans="2:4" x14ac:dyDescent="0.25">
      <c r="B214" s="43"/>
      <c r="D214" s="42"/>
    </row>
    <row r="215" spans="2:4" x14ac:dyDescent="0.25">
      <c r="B215" s="43"/>
      <c r="D215" s="42"/>
    </row>
    <row r="216" spans="2:4" x14ac:dyDescent="0.25">
      <c r="B216" s="43"/>
      <c r="D216" s="42"/>
    </row>
    <row r="217" spans="2:4" x14ac:dyDescent="0.25">
      <c r="B217" s="43"/>
      <c r="D217" s="42"/>
    </row>
    <row r="218" spans="2:4" x14ac:dyDescent="0.25">
      <c r="B218" s="43"/>
      <c r="D218" s="42"/>
    </row>
    <row r="219" spans="2:4" x14ac:dyDescent="0.25">
      <c r="B219" s="43"/>
      <c r="D219" s="42"/>
    </row>
    <row r="220" spans="2:4" x14ac:dyDescent="0.25">
      <c r="B220" s="43"/>
      <c r="D220" s="42"/>
    </row>
    <row r="221" spans="2:4" x14ac:dyDescent="0.25">
      <c r="B221" s="43"/>
      <c r="D221" s="42"/>
    </row>
    <row r="222" spans="2:4" x14ac:dyDescent="0.25">
      <c r="B222" s="43"/>
      <c r="D222" s="42"/>
    </row>
    <row r="223" spans="2:4" x14ac:dyDescent="0.25">
      <c r="B223" s="43"/>
      <c r="D223" s="42"/>
    </row>
    <row r="224" spans="2:4" x14ac:dyDescent="0.25">
      <c r="B224" s="43"/>
      <c r="D224" s="42"/>
    </row>
    <row r="225" spans="2:4" x14ac:dyDescent="0.25">
      <c r="B225" s="43"/>
      <c r="D225" s="42"/>
    </row>
    <row r="226" spans="2:4" x14ac:dyDescent="0.25">
      <c r="B226" s="43"/>
      <c r="D226" s="42"/>
    </row>
    <row r="227" spans="2:4" x14ac:dyDescent="0.25">
      <c r="B227" s="43"/>
      <c r="D227" s="42"/>
    </row>
    <row r="228" spans="2:4" x14ac:dyDescent="0.25">
      <c r="B228" s="43"/>
      <c r="D228" s="42"/>
    </row>
    <row r="229" spans="2:4" x14ac:dyDescent="0.25">
      <c r="B229" s="43"/>
      <c r="D229" s="42"/>
    </row>
    <row r="230" spans="2:4" x14ac:dyDescent="0.25">
      <c r="B230" s="43"/>
      <c r="D230" s="42"/>
    </row>
    <row r="231" spans="2:4" x14ac:dyDescent="0.25">
      <c r="B231" s="43"/>
      <c r="D231" s="42"/>
    </row>
    <row r="232" spans="2:4" x14ac:dyDescent="0.25">
      <c r="B232" s="43"/>
      <c r="D232" s="42"/>
    </row>
    <row r="233" spans="2:4" x14ac:dyDescent="0.25">
      <c r="B233" s="43"/>
      <c r="D233" s="42"/>
    </row>
    <row r="234" spans="2:4" x14ac:dyDescent="0.25">
      <c r="B234" s="43"/>
      <c r="D234" s="42"/>
    </row>
    <row r="235" spans="2:4" x14ac:dyDescent="0.25">
      <c r="B235" s="43"/>
      <c r="D235" s="42"/>
    </row>
    <row r="236" spans="2:4" x14ac:dyDescent="0.25">
      <c r="B236" s="43"/>
      <c r="D236" s="42"/>
    </row>
    <row r="237" spans="2:4" x14ac:dyDescent="0.25">
      <c r="B237" s="43"/>
      <c r="D237" s="42"/>
    </row>
    <row r="238" spans="2:4" x14ac:dyDescent="0.25">
      <c r="B238" s="43"/>
      <c r="D238" s="42"/>
    </row>
    <row r="239" spans="2:4" x14ac:dyDescent="0.25">
      <c r="B239" s="43"/>
      <c r="D239" s="42"/>
    </row>
    <row r="240" spans="2:4" x14ac:dyDescent="0.25">
      <c r="B240" s="43"/>
      <c r="D240" s="42"/>
    </row>
    <row r="241" spans="2:4" x14ac:dyDescent="0.25">
      <c r="B241" s="43"/>
      <c r="D241" s="42"/>
    </row>
    <row r="242" spans="2:4" x14ac:dyDescent="0.25">
      <c r="B242" s="43"/>
      <c r="D242" s="42"/>
    </row>
    <row r="243" spans="2:4" x14ac:dyDescent="0.25">
      <c r="B243" s="43"/>
      <c r="D243" s="42"/>
    </row>
    <row r="244" spans="2:4" x14ac:dyDescent="0.25">
      <c r="B244" s="43"/>
      <c r="D244" s="42"/>
    </row>
    <row r="245" spans="2:4" x14ac:dyDescent="0.25">
      <c r="B245" s="43"/>
      <c r="D245" s="42"/>
    </row>
    <row r="246" spans="2:4" x14ac:dyDescent="0.25">
      <c r="B246" s="43"/>
      <c r="D246" s="42"/>
    </row>
    <row r="247" spans="2:4" x14ac:dyDescent="0.25">
      <c r="B247" s="43"/>
      <c r="D247" s="42"/>
    </row>
    <row r="248" spans="2:4" x14ac:dyDescent="0.25">
      <c r="B248" s="43"/>
      <c r="D248" s="42"/>
    </row>
    <row r="249" spans="2:4" x14ac:dyDescent="0.25">
      <c r="B249" s="43"/>
      <c r="D249" s="42"/>
    </row>
    <row r="250" spans="2:4" x14ac:dyDescent="0.25">
      <c r="B250" s="43"/>
      <c r="D250" s="42"/>
    </row>
    <row r="251" spans="2:4" x14ac:dyDescent="0.25">
      <c r="B251" s="43"/>
      <c r="D251" s="42"/>
    </row>
    <row r="252" spans="2:4" x14ac:dyDescent="0.25">
      <c r="B252" s="43"/>
      <c r="D252" s="42"/>
    </row>
    <row r="253" spans="2:4" x14ac:dyDescent="0.25">
      <c r="B253" s="43"/>
      <c r="D253" s="42"/>
    </row>
    <row r="254" spans="2:4" x14ac:dyDescent="0.25">
      <c r="B254" s="43"/>
      <c r="D254" s="42"/>
    </row>
    <row r="255" spans="2:4" x14ac:dyDescent="0.25">
      <c r="B255" s="43"/>
      <c r="D255" s="42"/>
    </row>
    <row r="256" spans="2:4" x14ac:dyDescent="0.25">
      <c r="B256" s="43"/>
      <c r="D256" s="42"/>
    </row>
    <row r="257" spans="2:4" x14ac:dyDescent="0.25">
      <c r="B257" s="43"/>
      <c r="D257" s="42"/>
    </row>
    <row r="258" spans="2:4" x14ac:dyDescent="0.25">
      <c r="B258" s="43"/>
      <c r="D258" s="42"/>
    </row>
    <row r="259" spans="2:4" x14ac:dyDescent="0.25">
      <c r="B259" s="43"/>
      <c r="D259" s="42"/>
    </row>
    <row r="260" spans="2:4" x14ac:dyDescent="0.25">
      <c r="B260" s="43"/>
      <c r="D260" s="42"/>
    </row>
    <row r="261" spans="2:4" x14ac:dyDescent="0.25">
      <c r="B261" s="43"/>
      <c r="D261" s="42"/>
    </row>
    <row r="262" spans="2:4" x14ac:dyDescent="0.25">
      <c r="B262" s="43"/>
      <c r="D262" s="42"/>
    </row>
    <row r="263" spans="2:4" x14ac:dyDescent="0.25">
      <c r="B263" s="43"/>
      <c r="D263" s="42"/>
    </row>
    <row r="264" spans="2:4" x14ac:dyDescent="0.25">
      <c r="B264" s="43"/>
      <c r="D264" s="42"/>
    </row>
    <row r="265" spans="2:4" x14ac:dyDescent="0.25">
      <c r="B265" s="43"/>
      <c r="D265" s="42"/>
    </row>
    <row r="266" spans="2:4" x14ac:dyDescent="0.25">
      <c r="B266" s="43"/>
      <c r="D266" s="42"/>
    </row>
    <row r="267" spans="2:4" x14ac:dyDescent="0.25">
      <c r="B267" s="43"/>
      <c r="D267" s="42"/>
    </row>
    <row r="268" spans="2:4" x14ac:dyDescent="0.25">
      <c r="B268" s="43"/>
      <c r="D268" s="42"/>
    </row>
    <row r="269" spans="2:4" x14ac:dyDescent="0.25">
      <c r="B269" s="43"/>
      <c r="D269" s="42"/>
    </row>
    <row r="270" spans="2:4" x14ac:dyDescent="0.25">
      <c r="B270" s="43"/>
      <c r="D270" s="42"/>
    </row>
    <row r="271" spans="2:4" x14ac:dyDescent="0.25">
      <c r="B271" s="43"/>
      <c r="D271" s="42"/>
    </row>
    <row r="272" spans="2:4" x14ac:dyDescent="0.25">
      <c r="B272" s="43"/>
      <c r="D272" s="42"/>
    </row>
    <row r="273" spans="2:4" x14ac:dyDescent="0.25">
      <c r="B273" s="43"/>
      <c r="D273" s="42"/>
    </row>
    <row r="274" spans="2:4" x14ac:dyDescent="0.25">
      <c r="B274" s="43"/>
      <c r="D274" s="42"/>
    </row>
    <row r="275" spans="2:4" x14ac:dyDescent="0.25">
      <c r="B275" s="43"/>
      <c r="D275" s="42"/>
    </row>
    <row r="276" spans="2:4" x14ac:dyDescent="0.25">
      <c r="B276" s="43"/>
      <c r="D276" s="42"/>
    </row>
    <row r="277" spans="2:4" x14ac:dyDescent="0.25">
      <c r="B277" s="43"/>
      <c r="D277" s="42"/>
    </row>
    <row r="278" spans="2:4" x14ac:dyDescent="0.25">
      <c r="B278" s="43"/>
      <c r="D278" s="42"/>
    </row>
    <row r="279" spans="2:4" x14ac:dyDescent="0.25">
      <c r="B279" s="43"/>
      <c r="D279" s="42"/>
    </row>
    <row r="280" spans="2:4" x14ac:dyDescent="0.25">
      <c r="B280" s="43"/>
      <c r="D280" s="42"/>
    </row>
    <row r="281" spans="2:4" x14ac:dyDescent="0.25">
      <c r="B281" s="43"/>
      <c r="D281" s="42"/>
    </row>
    <row r="282" spans="2:4" x14ac:dyDescent="0.25">
      <c r="B282" s="43"/>
      <c r="D282" s="42"/>
    </row>
    <row r="283" spans="2:4" x14ac:dyDescent="0.25">
      <c r="B283" s="43"/>
      <c r="D283" s="42"/>
    </row>
    <row r="284" spans="2:4" x14ac:dyDescent="0.25">
      <c r="B284" s="43"/>
      <c r="D284" s="42"/>
    </row>
    <row r="285" spans="2:4" x14ac:dyDescent="0.25">
      <c r="B285" s="43"/>
      <c r="D285" s="42"/>
    </row>
    <row r="286" spans="2:4" x14ac:dyDescent="0.25">
      <c r="B286" s="43"/>
      <c r="D286" s="42"/>
    </row>
    <row r="287" spans="2:4" x14ac:dyDescent="0.25">
      <c r="B287" s="43"/>
      <c r="D287" s="42"/>
    </row>
    <row r="288" spans="2:4" x14ac:dyDescent="0.25">
      <c r="B288" s="43"/>
      <c r="D288" s="42"/>
    </row>
    <row r="289" spans="2:4" x14ac:dyDescent="0.25">
      <c r="B289" s="43"/>
      <c r="D289" s="42"/>
    </row>
    <row r="290" spans="2:4" x14ac:dyDescent="0.25">
      <c r="B290" s="43"/>
      <c r="D290" s="42"/>
    </row>
    <row r="291" spans="2:4" x14ac:dyDescent="0.25">
      <c r="B291" s="43"/>
      <c r="D291" s="42"/>
    </row>
    <row r="292" spans="2:4" x14ac:dyDescent="0.25">
      <c r="B292" s="43"/>
      <c r="D292" s="42"/>
    </row>
    <row r="293" spans="2:4" x14ac:dyDescent="0.25">
      <c r="B293" s="43"/>
      <c r="D293" s="42"/>
    </row>
    <row r="294" spans="2:4" x14ac:dyDescent="0.25">
      <c r="B294" s="43"/>
      <c r="D294" s="42"/>
    </row>
    <row r="295" spans="2:4" x14ac:dyDescent="0.25">
      <c r="B295" s="43"/>
      <c r="D295" s="42"/>
    </row>
    <row r="296" spans="2:4" x14ac:dyDescent="0.25">
      <c r="B296" s="43"/>
      <c r="D296" s="42"/>
    </row>
    <row r="297" spans="2:4" x14ac:dyDescent="0.25">
      <c r="B297" s="43"/>
      <c r="D297" s="42"/>
    </row>
    <row r="298" spans="2:4" x14ac:dyDescent="0.25">
      <c r="B298" s="43"/>
      <c r="D298" s="42"/>
    </row>
    <row r="299" spans="2:4" x14ac:dyDescent="0.25">
      <c r="B299" s="43"/>
      <c r="D299" s="42"/>
    </row>
    <row r="300" spans="2:4" x14ac:dyDescent="0.25">
      <c r="B300" s="43"/>
      <c r="D300" s="42"/>
    </row>
    <row r="301" spans="2:4" x14ac:dyDescent="0.25">
      <c r="B301" s="43"/>
      <c r="D301" s="42"/>
    </row>
    <row r="302" spans="2:4" x14ac:dyDescent="0.25">
      <c r="B302" s="43"/>
      <c r="D302" s="42"/>
    </row>
    <row r="303" spans="2:4" x14ac:dyDescent="0.25">
      <c r="B303" s="43"/>
      <c r="D303" s="42"/>
    </row>
    <row r="304" spans="2:4" x14ac:dyDescent="0.25">
      <c r="B304" s="43"/>
      <c r="D304" s="42"/>
    </row>
    <row r="305" spans="2:4" x14ac:dyDescent="0.25">
      <c r="B305" s="43"/>
      <c r="D305" s="42"/>
    </row>
    <row r="306" spans="2:4" x14ac:dyDescent="0.25">
      <c r="B306" s="43"/>
      <c r="D306" s="42"/>
    </row>
    <row r="307" spans="2:4" x14ac:dyDescent="0.25">
      <c r="B307" s="43"/>
      <c r="D307" s="42"/>
    </row>
    <row r="308" spans="2:4" x14ac:dyDescent="0.25">
      <c r="B308" s="43"/>
      <c r="D308" s="42"/>
    </row>
    <row r="309" spans="2:4" x14ac:dyDescent="0.25">
      <c r="B309" s="43"/>
      <c r="D309" s="42"/>
    </row>
    <row r="310" spans="2:4" x14ac:dyDescent="0.25">
      <c r="B310" s="43"/>
      <c r="D310" s="42"/>
    </row>
    <row r="311" spans="2:4" x14ac:dyDescent="0.25">
      <c r="B311" s="43"/>
      <c r="D311" s="42"/>
    </row>
    <row r="312" spans="2:4" x14ac:dyDescent="0.25">
      <c r="B312" s="43"/>
      <c r="D312" s="42"/>
    </row>
    <row r="313" spans="2:4" x14ac:dyDescent="0.25">
      <c r="B313" s="43"/>
      <c r="D313" s="42"/>
    </row>
    <row r="314" spans="2:4" x14ac:dyDescent="0.25">
      <c r="B314" s="43"/>
      <c r="D314" s="42"/>
    </row>
    <row r="315" spans="2:4" x14ac:dyDescent="0.25">
      <c r="B315" s="43"/>
      <c r="D315" s="42"/>
    </row>
    <row r="316" spans="2:4" x14ac:dyDescent="0.25">
      <c r="B316" s="43"/>
      <c r="D316" s="42"/>
    </row>
    <row r="317" spans="2:4" x14ac:dyDescent="0.25">
      <c r="B317" s="43"/>
      <c r="D317" s="42"/>
    </row>
    <row r="318" spans="2:4" x14ac:dyDescent="0.25">
      <c r="B318" s="43"/>
      <c r="D318" s="42"/>
    </row>
    <row r="319" spans="2:4" x14ac:dyDescent="0.25">
      <c r="B319" s="43"/>
      <c r="D319" s="42"/>
    </row>
    <row r="320" spans="2:4" x14ac:dyDescent="0.25">
      <c r="B320" s="43"/>
      <c r="D320" s="42"/>
    </row>
    <row r="321" spans="2:4" x14ac:dyDescent="0.25">
      <c r="B321" s="43"/>
      <c r="D321" s="42"/>
    </row>
    <row r="322" spans="2:4" x14ac:dyDescent="0.25">
      <c r="B322" s="43"/>
      <c r="D322" s="42"/>
    </row>
    <row r="323" spans="2:4" x14ac:dyDescent="0.25">
      <c r="B323" s="43"/>
      <c r="D323" s="42"/>
    </row>
    <row r="324" spans="2:4" x14ac:dyDescent="0.25">
      <c r="B324" s="43"/>
      <c r="D324" s="42"/>
    </row>
    <row r="325" spans="2:4" x14ac:dyDescent="0.25">
      <c r="B325" s="43"/>
      <c r="D325" s="42"/>
    </row>
    <row r="326" spans="2:4" x14ac:dyDescent="0.25">
      <c r="B326" s="43"/>
      <c r="D326" s="42"/>
    </row>
    <row r="327" spans="2:4" x14ac:dyDescent="0.25">
      <c r="B327" s="43"/>
      <c r="D327" s="42"/>
    </row>
    <row r="328" spans="2:4" x14ac:dyDescent="0.25">
      <c r="B328" s="43"/>
      <c r="D328" s="42"/>
    </row>
    <row r="329" spans="2:4" x14ac:dyDescent="0.25">
      <c r="B329" s="43"/>
      <c r="D329" s="42"/>
    </row>
    <row r="330" spans="2:4" x14ac:dyDescent="0.25">
      <c r="B330" s="43"/>
      <c r="D330" s="42"/>
    </row>
    <row r="331" spans="2:4" x14ac:dyDescent="0.25">
      <c r="B331" s="43"/>
      <c r="D331" s="42"/>
    </row>
    <row r="332" spans="2:4" x14ac:dyDescent="0.25">
      <c r="B332" s="43"/>
      <c r="D332" s="42"/>
    </row>
    <row r="333" spans="2:4" x14ac:dyDescent="0.25">
      <c r="B333" s="43"/>
      <c r="D333" s="42"/>
    </row>
    <row r="334" spans="2:4" x14ac:dyDescent="0.25">
      <c r="B334" s="43"/>
      <c r="D334" s="42"/>
    </row>
    <row r="335" spans="2:4" x14ac:dyDescent="0.25">
      <c r="B335" s="43"/>
      <c r="D335" s="42"/>
    </row>
    <row r="336" spans="2:4" x14ac:dyDescent="0.25">
      <c r="B336" s="43"/>
      <c r="D336" s="42"/>
    </row>
    <row r="337" spans="2:4" x14ac:dyDescent="0.25">
      <c r="B337" s="43"/>
      <c r="D337" s="42"/>
    </row>
    <row r="338" spans="2:4" x14ac:dyDescent="0.25">
      <c r="B338" s="43"/>
      <c r="D338" s="42"/>
    </row>
    <row r="339" spans="2:4" x14ac:dyDescent="0.25">
      <c r="B339" s="43"/>
      <c r="D339" s="42"/>
    </row>
    <row r="340" spans="2:4" x14ac:dyDescent="0.25">
      <c r="B340" s="43"/>
      <c r="D340" s="42"/>
    </row>
    <row r="341" spans="2:4" x14ac:dyDescent="0.25">
      <c r="B341" s="43"/>
      <c r="D341" s="42"/>
    </row>
    <row r="342" spans="2:4" x14ac:dyDescent="0.25">
      <c r="B342" s="43"/>
      <c r="D342" s="42"/>
    </row>
    <row r="343" spans="2:4" x14ac:dyDescent="0.25">
      <c r="B343" s="43"/>
      <c r="D343" s="42"/>
    </row>
    <row r="344" spans="2:4" x14ac:dyDescent="0.25">
      <c r="B344" s="43"/>
      <c r="D344" s="42"/>
    </row>
    <row r="345" spans="2:4" x14ac:dyDescent="0.25">
      <c r="B345" s="43"/>
      <c r="D345" s="42"/>
    </row>
    <row r="346" spans="2:4" x14ac:dyDescent="0.25">
      <c r="B346" s="43"/>
      <c r="D346" s="42"/>
    </row>
    <row r="347" spans="2:4" x14ac:dyDescent="0.25">
      <c r="B347" s="43"/>
      <c r="D347" s="42"/>
    </row>
    <row r="348" spans="2:4" x14ac:dyDescent="0.25">
      <c r="B348" s="43"/>
      <c r="D348" s="42"/>
    </row>
    <row r="349" spans="2:4" x14ac:dyDescent="0.25">
      <c r="B349" s="43"/>
      <c r="D349" s="42"/>
    </row>
    <row r="350" spans="2:4" x14ac:dyDescent="0.25">
      <c r="B350" s="43"/>
      <c r="D350" s="42"/>
    </row>
    <row r="351" spans="2:4" x14ac:dyDescent="0.25">
      <c r="B351" s="43"/>
      <c r="D351" s="42"/>
    </row>
    <row r="352" spans="2:4" x14ac:dyDescent="0.25">
      <c r="B352" s="43"/>
      <c r="D352" s="42"/>
    </row>
    <row r="353" spans="2:4" x14ac:dyDescent="0.25">
      <c r="B353" s="43"/>
      <c r="D353" s="42"/>
    </row>
    <row r="354" spans="2:4" x14ac:dyDescent="0.25">
      <c r="B354" s="43"/>
      <c r="D354" s="42"/>
    </row>
    <row r="355" spans="2:4" x14ac:dyDescent="0.25">
      <c r="B355" s="43"/>
      <c r="D355" s="42"/>
    </row>
    <row r="356" spans="2:4" x14ac:dyDescent="0.25">
      <c r="B356" s="43"/>
      <c r="D356" s="42"/>
    </row>
    <row r="357" spans="2:4" x14ac:dyDescent="0.25">
      <c r="B357" s="43"/>
      <c r="D357" s="42"/>
    </row>
    <row r="358" spans="2:4" x14ac:dyDescent="0.25">
      <c r="B358" s="43"/>
      <c r="D358" s="42"/>
    </row>
    <row r="359" spans="2:4" x14ac:dyDescent="0.25">
      <c r="B359" s="43"/>
      <c r="D359" s="42"/>
    </row>
    <row r="360" spans="2:4" x14ac:dyDescent="0.25">
      <c r="B360" s="43"/>
      <c r="D360" s="42"/>
    </row>
    <row r="361" spans="2:4" x14ac:dyDescent="0.25">
      <c r="B361" s="43"/>
      <c r="D361" s="42"/>
    </row>
    <row r="362" spans="2:4" x14ac:dyDescent="0.25">
      <c r="B362" s="43"/>
      <c r="D362" s="42"/>
    </row>
    <row r="363" spans="2:4" x14ac:dyDescent="0.25">
      <c r="B363" s="43"/>
      <c r="D363" s="42"/>
    </row>
    <row r="364" spans="2:4" x14ac:dyDescent="0.25">
      <c r="B364" s="43"/>
      <c r="D364" s="42"/>
    </row>
    <row r="365" spans="2:4" x14ac:dyDescent="0.25">
      <c r="B365" s="43"/>
      <c r="D365" s="42"/>
    </row>
    <row r="366" spans="2:4" x14ac:dyDescent="0.25">
      <c r="B366" s="43"/>
      <c r="D366" s="42"/>
    </row>
    <row r="367" spans="2:4" x14ac:dyDescent="0.25">
      <c r="B367" s="43"/>
      <c r="D367" s="42"/>
    </row>
    <row r="368" spans="2:4" x14ac:dyDescent="0.25">
      <c r="B368" s="43"/>
      <c r="D368" s="42"/>
    </row>
    <row r="369" spans="2:4" x14ac:dyDescent="0.25">
      <c r="B369" s="43"/>
      <c r="D369" s="42"/>
    </row>
    <row r="370" spans="2:4" x14ac:dyDescent="0.25">
      <c r="B370" s="43"/>
      <c r="D370" s="42"/>
    </row>
    <row r="371" spans="2:4" x14ac:dyDescent="0.25">
      <c r="B371" s="43"/>
      <c r="D371" s="42"/>
    </row>
    <row r="372" spans="2:4" x14ac:dyDescent="0.25">
      <c r="B372" s="43"/>
      <c r="D372" s="42"/>
    </row>
    <row r="373" spans="2:4" x14ac:dyDescent="0.25">
      <c r="B373" s="43"/>
      <c r="D373" s="42"/>
    </row>
    <row r="374" spans="2:4" x14ac:dyDescent="0.25">
      <c r="B374" s="43"/>
      <c r="D374" s="42"/>
    </row>
    <row r="375" spans="2:4" x14ac:dyDescent="0.25">
      <c r="B375" s="43"/>
      <c r="D375" s="42"/>
    </row>
    <row r="376" spans="2:4" x14ac:dyDescent="0.25">
      <c r="B376" s="43"/>
      <c r="D376" s="42"/>
    </row>
    <row r="377" spans="2:4" x14ac:dyDescent="0.25">
      <c r="B377" s="43"/>
      <c r="D377" s="42"/>
    </row>
    <row r="378" spans="2:4" x14ac:dyDescent="0.25">
      <c r="B378" s="43"/>
      <c r="D378" s="42"/>
    </row>
    <row r="379" spans="2:4" x14ac:dyDescent="0.25">
      <c r="B379" s="43"/>
      <c r="D379" s="42"/>
    </row>
    <row r="380" spans="2:4" x14ac:dyDescent="0.25">
      <c r="B380" s="43"/>
      <c r="D380" s="42"/>
    </row>
    <row r="381" spans="2:4" x14ac:dyDescent="0.25">
      <c r="B381" s="43"/>
      <c r="D381" s="42"/>
    </row>
    <row r="382" spans="2:4" x14ac:dyDescent="0.25">
      <c r="B382" s="43"/>
      <c r="D382" s="42"/>
    </row>
    <row r="383" spans="2:4" x14ac:dyDescent="0.25">
      <c r="B383" s="43"/>
      <c r="D383" s="42"/>
    </row>
    <row r="384" spans="2:4" x14ac:dyDescent="0.25">
      <c r="B384" s="43"/>
      <c r="D384" s="42"/>
    </row>
    <row r="385" spans="2:4" x14ac:dyDescent="0.25">
      <c r="B385" s="43"/>
      <c r="D385" s="42"/>
    </row>
    <row r="386" spans="2:4" x14ac:dyDescent="0.25">
      <c r="B386" s="43"/>
      <c r="D386" s="42"/>
    </row>
    <row r="387" spans="2:4" x14ac:dyDescent="0.25">
      <c r="B387" s="43"/>
      <c r="D387" s="42"/>
    </row>
    <row r="388" spans="2:4" x14ac:dyDescent="0.25">
      <c r="B388" s="43"/>
      <c r="D388" s="42"/>
    </row>
    <row r="389" spans="2:4" x14ac:dyDescent="0.25">
      <c r="B389" s="43"/>
      <c r="D389" s="42"/>
    </row>
    <row r="390" spans="2:4" x14ac:dyDescent="0.25">
      <c r="B390" s="43"/>
      <c r="D390" s="42"/>
    </row>
    <row r="391" spans="2:4" x14ac:dyDescent="0.25">
      <c r="B391" s="43"/>
      <c r="D391" s="42"/>
    </row>
    <row r="392" spans="2:4" x14ac:dyDescent="0.25">
      <c r="B392" s="43"/>
      <c r="D392" s="42"/>
    </row>
    <row r="393" spans="2:4" x14ac:dyDescent="0.25">
      <c r="B393" s="43"/>
      <c r="D393" s="42"/>
    </row>
    <row r="394" spans="2:4" x14ac:dyDescent="0.25">
      <c r="B394" s="43"/>
      <c r="D394" s="42"/>
    </row>
    <row r="395" spans="2:4" x14ac:dyDescent="0.25">
      <c r="B395" s="43"/>
      <c r="D395" s="42"/>
    </row>
    <row r="396" spans="2:4" x14ac:dyDescent="0.25">
      <c r="B396" s="43"/>
      <c r="D396" s="42"/>
    </row>
    <row r="397" spans="2:4" x14ac:dyDescent="0.25">
      <c r="B397" s="43"/>
      <c r="D397" s="42"/>
    </row>
    <row r="398" spans="2:4" x14ac:dyDescent="0.25">
      <c r="B398" s="43"/>
      <c r="D398" s="42"/>
    </row>
    <row r="399" spans="2:4" x14ac:dyDescent="0.25">
      <c r="B399" s="43"/>
      <c r="D399" s="42"/>
    </row>
    <row r="400" spans="2:4" x14ac:dyDescent="0.25">
      <c r="B400" s="43"/>
      <c r="D400" s="42"/>
    </row>
    <row r="401" spans="2:4" x14ac:dyDescent="0.25">
      <c r="B401" s="43"/>
      <c r="D401" s="42"/>
    </row>
    <row r="402" spans="2:4" x14ac:dyDescent="0.25">
      <c r="B402" s="43"/>
      <c r="D402" s="42"/>
    </row>
    <row r="403" spans="2:4" x14ac:dyDescent="0.25">
      <c r="B403" s="43"/>
      <c r="D403" s="42"/>
    </row>
    <row r="404" spans="2:4" x14ac:dyDescent="0.25">
      <c r="B404" s="43"/>
      <c r="D404" s="42"/>
    </row>
    <row r="405" spans="2:4" x14ac:dyDescent="0.25">
      <c r="B405" s="43"/>
      <c r="D405" s="42"/>
    </row>
    <row r="406" spans="2:4" x14ac:dyDescent="0.25">
      <c r="B406" s="43"/>
      <c r="D406" s="42"/>
    </row>
    <row r="407" spans="2:4" x14ac:dyDescent="0.25">
      <c r="B407" s="43"/>
      <c r="D407" s="42"/>
    </row>
    <row r="408" spans="2:4" x14ac:dyDescent="0.25">
      <c r="B408" s="43"/>
      <c r="D408" s="42"/>
    </row>
    <row r="409" spans="2:4" x14ac:dyDescent="0.25">
      <c r="B409" s="43"/>
      <c r="D409" s="42"/>
    </row>
    <row r="410" spans="2:4" x14ac:dyDescent="0.25">
      <c r="B410" s="43"/>
      <c r="D410" s="42"/>
    </row>
    <row r="411" spans="2:4" x14ac:dyDescent="0.25">
      <c r="B411" s="43"/>
      <c r="D411" s="42"/>
    </row>
    <row r="412" spans="2:4" x14ac:dyDescent="0.25">
      <c r="B412" s="43"/>
      <c r="D412" s="42"/>
    </row>
    <row r="413" spans="2:4" x14ac:dyDescent="0.25">
      <c r="B413" s="43"/>
      <c r="D413" s="42"/>
    </row>
    <row r="414" spans="2:4" x14ac:dyDescent="0.25">
      <c r="B414" s="43"/>
      <c r="D414" s="42"/>
    </row>
    <row r="415" spans="2:4" x14ac:dyDescent="0.25">
      <c r="B415" s="43"/>
      <c r="D415" s="42"/>
    </row>
    <row r="416" spans="2:4" x14ac:dyDescent="0.25">
      <c r="B416" s="43"/>
      <c r="D416" s="42"/>
    </row>
    <row r="417" spans="2:4" x14ac:dyDescent="0.25">
      <c r="B417" s="43"/>
      <c r="D417" s="42"/>
    </row>
    <row r="418" spans="2:4" x14ac:dyDescent="0.25">
      <c r="B418" s="43"/>
      <c r="D418" s="42"/>
    </row>
    <row r="419" spans="2:4" x14ac:dyDescent="0.25">
      <c r="B419" s="43"/>
      <c r="D419" s="42"/>
    </row>
    <row r="420" spans="2:4" x14ac:dyDescent="0.25">
      <c r="B420" s="43"/>
      <c r="D420" s="42"/>
    </row>
    <row r="421" spans="2:4" x14ac:dyDescent="0.25">
      <c r="B421" s="43"/>
      <c r="D421" s="42"/>
    </row>
    <row r="422" spans="2:4" x14ac:dyDescent="0.25">
      <c r="B422" s="43"/>
      <c r="D422" s="42"/>
    </row>
    <row r="423" spans="2:4" x14ac:dyDescent="0.25">
      <c r="B423" s="43"/>
      <c r="D423" s="42"/>
    </row>
    <row r="424" spans="2:4" x14ac:dyDescent="0.25">
      <c r="B424" s="43"/>
      <c r="D424" s="42"/>
    </row>
    <row r="425" spans="2:4" x14ac:dyDescent="0.25">
      <c r="B425" s="43"/>
      <c r="D425" s="42"/>
    </row>
    <row r="426" spans="2:4" x14ac:dyDescent="0.25">
      <c r="B426" s="43"/>
      <c r="D426" s="42"/>
    </row>
    <row r="427" spans="2:4" x14ac:dyDescent="0.25">
      <c r="B427" s="43"/>
      <c r="D427" s="42"/>
    </row>
    <row r="428" spans="2:4" x14ac:dyDescent="0.25">
      <c r="B428" s="43"/>
      <c r="D428" s="42"/>
    </row>
    <row r="429" spans="2:4" x14ac:dyDescent="0.25">
      <c r="B429" s="43"/>
      <c r="D429" s="42"/>
    </row>
    <row r="430" spans="2:4" x14ac:dyDescent="0.25">
      <c r="B430" s="43"/>
      <c r="D430" s="42"/>
    </row>
    <row r="431" spans="2:4" x14ac:dyDescent="0.25">
      <c r="B431" s="43"/>
      <c r="D431" s="42"/>
    </row>
    <row r="432" spans="2:4" x14ac:dyDescent="0.25">
      <c r="B432" s="43"/>
      <c r="D432" s="42"/>
    </row>
    <row r="433" spans="2:4" x14ac:dyDescent="0.25">
      <c r="B433" s="43"/>
      <c r="D433" s="42"/>
    </row>
    <row r="434" spans="2:4" x14ac:dyDescent="0.25">
      <c r="B434" s="43"/>
      <c r="D434" s="42"/>
    </row>
    <row r="435" spans="2:4" x14ac:dyDescent="0.25">
      <c r="B435" s="43"/>
      <c r="D435" s="42"/>
    </row>
    <row r="436" spans="2:4" x14ac:dyDescent="0.25">
      <c r="B436" s="43"/>
      <c r="D436" s="42"/>
    </row>
    <row r="437" spans="2:4" x14ac:dyDescent="0.25">
      <c r="B437" s="43"/>
      <c r="D437" s="42"/>
    </row>
    <row r="438" spans="2:4" x14ac:dyDescent="0.25">
      <c r="B438" s="43"/>
      <c r="D438" s="42"/>
    </row>
    <row r="439" spans="2:4" x14ac:dyDescent="0.25">
      <c r="B439" s="43"/>
      <c r="D439" s="42"/>
    </row>
    <row r="440" spans="2:4" x14ac:dyDescent="0.25">
      <c r="B440" s="43"/>
      <c r="D440" s="42"/>
    </row>
    <row r="441" spans="2:4" x14ac:dyDescent="0.25">
      <c r="B441" s="43"/>
      <c r="D441" s="42"/>
    </row>
    <row r="442" spans="2:4" x14ac:dyDescent="0.25">
      <c r="B442" s="43"/>
      <c r="D442" s="42"/>
    </row>
    <row r="443" spans="2:4" x14ac:dyDescent="0.25">
      <c r="B443" s="43"/>
      <c r="D443" s="42"/>
    </row>
    <row r="444" spans="2:4" x14ac:dyDescent="0.25">
      <c r="B444" s="43"/>
      <c r="D444" s="42"/>
    </row>
    <row r="445" spans="2:4" x14ac:dyDescent="0.25">
      <c r="B445" s="43"/>
      <c r="D445" s="42"/>
    </row>
    <row r="446" spans="2:4" x14ac:dyDescent="0.25">
      <c r="B446" s="43"/>
      <c r="D446" s="42"/>
    </row>
    <row r="447" spans="2:4" x14ac:dyDescent="0.25">
      <c r="B447" s="43"/>
      <c r="D447" s="42"/>
    </row>
    <row r="448" spans="2:4" x14ac:dyDescent="0.25">
      <c r="B448" s="43"/>
      <c r="D448" s="42"/>
    </row>
    <row r="449" spans="2:4" x14ac:dyDescent="0.25">
      <c r="B449" s="43"/>
      <c r="D449" s="42"/>
    </row>
    <row r="450" spans="2:4" x14ac:dyDescent="0.25">
      <c r="B450" s="43"/>
      <c r="D450" s="42"/>
    </row>
    <row r="451" spans="2:4" x14ac:dyDescent="0.25">
      <c r="B451" s="43"/>
      <c r="D451" s="42"/>
    </row>
    <row r="452" spans="2:4" x14ac:dyDescent="0.25">
      <c r="B452" s="43"/>
      <c r="D452" s="42"/>
    </row>
    <row r="453" spans="2:4" x14ac:dyDescent="0.25">
      <c r="B453" s="43"/>
      <c r="D453" s="42"/>
    </row>
    <row r="454" spans="2:4" x14ac:dyDescent="0.25">
      <c r="B454" s="43"/>
      <c r="D454" s="42"/>
    </row>
    <row r="455" spans="2:4" x14ac:dyDescent="0.25">
      <c r="B455" s="43"/>
      <c r="D455" s="42"/>
    </row>
    <row r="456" spans="2:4" x14ac:dyDescent="0.25">
      <c r="B456" s="43"/>
      <c r="D456" s="42"/>
    </row>
    <row r="457" spans="2:4" x14ac:dyDescent="0.25">
      <c r="B457" s="43"/>
      <c r="D457" s="42"/>
    </row>
    <row r="458" spans="2:4" x14ac:dyDescent="0.25">
      <c r="B458" s="43"/>
      <c r="D458" s="42"/>
    </row>
    <row r="459" spans="2:4" x14ac:dyDescent="0.25">
      <c r="B459" s="43"/>
      <c r="D459" s="42"/>
    </row>
    <row r="460" spans="2:4" x14ac:dyDescent="0.25">
      <c r="B460" s="43"/>
      <c r="D460" s="42"/>
    </row>
    <row r="461" spans="2:4" x14ac:dyDescent="0.25">
      <c r="B461" s="43"/>
      <c r="D461" s="42"/>
    </row>
    <row r="462" spans="2:4" x14ac:dyDescent="0.25">
      <c r="B462" s="43"/>
      <c r="D462" s="42"/>
    </row>
    <row r="463" spans="2:4" x14ac:dyDescent="0.25">
      <c r="B463" s="43"/>
      <c r="D463" s="42"/>
    </row>
    <row r="464" spans="2:4" x14ac:dyDescent="0.25">
      <c r="B464" s="43"/>
      <c r="D464" s="42"/>
    </row>
    <row r="465" spans="2:4" x14ac:dyDescent="0.25">
      <c r="B465" s="43"/>
      <c r="D465" s="42"/>
    </row>
    <row r="466" spans="2:4" x14ac:dyDescent="0.25">
      <c r="B466" s="43"/>
      <c r="D466" s="42"/>
    </row>
    <row r="467" spans="2:4" x14ac:dyDescent="0.25">
      <c r="B467" s="43"/>
      <c r="D467" s="42"/>
    </row>
    <row r="468" spans="2:4" x14ac:dyDescent="0.25">
      <c r="B468" s="43"/>
      <c r="D468" s="42"/>
    </row>
    <row r="469" spans="2:4" x14ac:dyDescent="0.25">
      <c r="B469" s="43"/>
      <c r="D469" s="42"/>
    </row>
    <row r="470" spans="2:4" x14ac:dyDescent="0.25">
      <c r="B470" s="43"/>
      <c r="D470" s="42"/>
    </row>
    <row r="471" spans="2:4" x14ac:dyDescent="0.25">
      <c r="B471" s="43"/>
      <c r="D471" s="42"/>
    </row>
    <row r="472" spans="2:4" x14ac:dyDescent="0.25">
      <c r="B472" s="43"/>
      <c r="D472" s="42"/>
    </row>
    <row r="473" spans="2:4" x14ac:dyDescent="0.25">
      <c r="B473" s="43"/>
      <c r="D473" s="42"/>
    </row>
    <row r="474" spans="2:4" x14ac:dyDescent="0.25">
      <c r="B474" s="43"/>
      <c r="D474" s="42"/>
    </row>
    <row r="475" spans="2:4" x14ac:dyDescent="0.25">
      <c r="B475" s="43"/>
      <c r="D475" s="42"/>
    </row>
    <row r="476" spans="2:4" x14ac:dyDescent="0.25">
      <c r="B476" s="43"/>
      <c r="D476" s="42"/>
    </row>
    <row r="477" spans="2:4" x14ac:dyDescent="0.25">
      <c r="B477" s="43"/>
      <c r="D477" s="42"/>
    </row>
    <row r="478" spans="2:4" x14ac:dyDescent="0.25">
      <c r="B478" s="43"/>
      <c r="D478" s="42"/>
    </row>
    <row r="479" spans="2:4" x14ac:dyDescent="0.25">
      <c r="B479" s="43"/>
      <c r="D479" s="42"/>
    </row>
    <row r="480" spans="2:4" x14ac:dyDescent="0.25">
      <c r="B480" s="43"/>
      <c r="D480" s="42"/>
    </row>
    <row r="481" spans="2:4" x14ac:dyDescent="0.25">
      <c r="B481" s="43"/>
      <c r="D481" s="42"/>
    </row>
    <row r="482" spans="2:4" x14ac:dyDescent="0.25">
      <c r="B482" s="43"/>
      <c r="D482" s="42"/>
    </row>
    <row r="483" spans="2:4" x14ac:dyDescent="0.25">
      <c r="B483" s="43"/>
      <c r="D483" s="42"/>
    </row>
    <row r="484" spans="2:4" x14ac:dyDescent="0.25">
      <c r="B484" s="43"/>
      <c r="D484" s="42"/>
    </row>
    <row r="485" spans="2:4" x14ac:dyDescent="0.25">
      <c r="B485" s="43"/>
      <c r="D485" s="42"/>
    </row>
    <row r="486" spans="2:4" x14ac:dyDescent="0.25">
      <c r="B486" s="43"/>
      <c r="D486" s="42"/>
    </row>
    <row r="487" spans="2:4" x14ac:dyDescent="0.25">
      <c r="B487" s="43"/>
      <c r="D487" s="42"/>
    </row>
    <row r="488" spans="2:4" x14ac:dyDescent="0.25">
      <c r="B488" s="43"/>
      <c r="D488" s="42"/>
    </row>
    <row r="489" spans="2:4" x14ac:dyDescent="0.25">
      <c r="B489" s="43"/>
      <c r="D489" s="42"/>
    </row>
    <row r="490" spans="2:4" x14ac:dyDescent="0.25">
      <c r="B490" s="43"/>
      <c r="D490" s="42"/>
    </row>
    <row r="491" spans="2:4" x14ac:dyDescent="0.25">
      <c r="B491" s="43"/>
      <c r="D491" s="42"/>
    </row>
    <row r="492" spans="2:4" x14ac:dyDescent="0.25">
      <c r="B492" s="43"/>
      <c r="D492" s="42"/>
    </row>
    <row r="493" spans="2:4" x14ac:dyDescent="0.25">
      <c r="B493" s="43"/>
      <c r="D493" s="42"/>
    </row>
    <row r="494" spans="2:4" x14ac:dyDescent="0.25">
      <c r="B494" s="43"/>
      <c r="D494" s="42"/>
    </row>
    <row r="495" spans="2:4" x14ac:dyDescent="0.25">
      <c r="B495" s="43"/>
      <c r="D495" s="42"/>
    </row>
    <row r="496" spans="2:4" x14ac:dyDescent="0.25">
      <c r="B496" s="43"/>
      <c r="D496" s="42"/>
    </row>
    <row r="497" spans="2:4" x14ac:dyDescent="0.25">
      <c r="B497" s="43"/>
      <c r="D497" s="42"/>
    </row>
    <row r="498" spans="2:4" x14ac:dyDescent="0.25">
      <c r="B498" s="43"/>
      <c r="D498" s="42"/>
    </row>
    <row r="499" spans="2:4" x14ac:dyDescent="0.25">
      <c r="B499" s="43"/>
      <c r="D499" s="42"/>
    </row>
    <row r="500" spans="2:4" x14ac:dyDescent="0.25">
      <c r="B500" s="43"/>
      <c r="D500" s="42"/>
    </row>
    <row r="501" spans="2:4" x14ac:dyDescent="0.25">
      <c r="B501" s="43"/>
      <c r="D501" s="42"/>
    </row>
    <row r="502" spans="2:4" x14ac:dyDescent="0.25">
      <c r="B502" s="43"/>
      <c r="D502" s="42"/>
    </row>
    <row r="503" spans="2:4" x14ac:dyDescent="0.25">
      <c r="B503" s="43"/>
      <c r="D503" s="42"/>
    </row>
    <row r="504" spans="2:4" x14ac:dyDescent="0.25">
      <c r="B504" s="43"/>
      <c r="D504" s="42"/>
    </row>
    <row r="505" spans="2:4" x14ac:dyDescent="0.25">
      <c r="B505" s="43"/>
      <c r="D505" s="42"/>
    </row>
    <row r="506" spans="2:4" x14ac:dyDescent="0.25">
      <c r="B506" s="43"/>
      <c r="D506" s="42"/>
    </row>
    <row r="507" spans="2:4" x14ac:dyDescent="0.25">
      <c r="B507" s="43"/>
      <c r="D507" s="42"/>
    </row>
    <row r="508" spans="2:4" x14ac:dyDescent="0.25">
      <c r="B508" s="43"/>
      <c r="D508" s="42"/>
    </row>
    <row r="509" spans="2:4" x14ac:dyDescent="0.25">
      <c r="B509" s="43"/>
      <c r="D509" s="42"/>
    </row>
    <row r="510" spans="2:4" x14ac:dyDescent="0.25">
      <c r="B510" s="43"/>
      <c r="D510" s="42"/>
    </row>
    <row r="511" spans="2:4" x14ac:dyDescent="0.25">
      <c r="B511" s="43"/>
      <c r="D511" s="42"/>
    </row>
    <row r="512" spans="2:4" x14ac:dyDescent="0.25">
      <c r="B512" s="43"/>
      <c r="D512" s="42"/>
    </row>
    <row r="513" spans="2:4" x14ac:dyDescent="0.25">
      <c r="B513" s="43"/>
      <c r="D513" s="42"/>
    </row>
    <row r="514" spans="2:4" x14ac:dyDescent="0.25">
      <c r="B514" s="43"/>
      <c r="D514" s="42"/>
    </row>
    <row r="515" spans="2:4" x14ac:dyDescent="0.25">
      <c r="B515" s="43"/>
      <c r="D515" s="42"/>
    </row>
    <row r="516" spans="2:4" x14ac:dyDescent="0.25">
      <c r="B516" s="43"/>
      <c r="D516" s="42"/>
    </row>
    <row r="517" spans="2:4" x14ac:dyDescent="0.25">
      <c r="B517" s="43"/>
      <c r="D517" s="42"/>
    </row>
    <row r="518" spans="2:4" x14ac:dyDescent="0.25">
      <c r="B518" s="43"/>
      <c r="D518" s="42"/>
    </row>
    <row r="519" spans="2:4" x14ac:dyDescent="0.25">
      <c r="B519" s="43"/>
      <c r="D519" s="42"/>
    </row>
    <row r="520" spans="2:4" x14ac:dyDescent="0.25">
      <c r="B520" s="43"/>
      <c r="D520" s="42"/>
    </row>
    <row r="521" spans="2:4" x14ac:dyDescent="0.25">
      <c r="B521" s="43"/>
      <c r="D521" s="42"/>
    </row>
    <row r="522" spans="2:4" x14ac:dyDescent="0.25">
      <c r="B522" s="43"/>
      <c r="D522" s="42"/>
    </row>
    <row r="523" spans="2:4" x14ac:dyDescent="0.25">
      <c r="B523" s="43"/>
      <c r="D523" s="42"/>
    </row>
    <row r="524" spans="2:4" x14ac:dyDescent="0.25">
      <c r="B524" s="43"/>
      <c r="D524" s="42"/>
    </row>
    <row r="525" spans="2:4" x14ac:dyDescent="0.25">
      <c r="B525" s="43"/>
      <c r="D525" s="42"/>
    </row>
    <row r="526" spans="2:4" x14ac:dyDescent="0.25">
      <c r="B526" s="43"/>
      <c r="D526" s="42"/>
    </row>
    <row r="527" spans="2:4" x14ac:dyDescent="0.25">
      <c r="B527" s="43"/>
      <c r="D527" s="42"/>
    </row>
    <row r="528" spans="2:4" x14ac:dyDescent="0.25">
      <c r="B528" s="43"/>
      <c r="D528" s="42"/>
    </row>
    <row r="529" spans="2:4" x14ac:dyDescent="0.25">
      <c r="B529" s="43"/>
      <c r="D529" s="42"/>
    </row>
    <row r="530" spans="2:4" x14ac:dyDescent="0.25">
      <c r="B530" s="43"/>
      <c r="D530" s="42"/>
    </row>
    <row r="531" spans="2:4" x14ac:dyDescent="0.25">
      <c r="B531" s="43"/>
      <c r="D531" s="42"/>
    </row>
    <row r="532" spans="2:4" x14ac:dyDescent="0.25">
      <c r="B532" s="43"/>
      <c r="D532" s="42"/>
    </row>
    <row r="533" spans="2:4" x14ac:dyDescent="0.25">
      <c r="B533" s="43"/>
      <c r="D533" s="42"/>
    </row>
    <row r="534" spans="2:4" x14ac:dyDescent="0.25">
      <c r="B534" s="43"/>
      <c r="D534" s="42"/>
    </row>
    <row r="535" spans="2:4" x14ac:dyDescent="0.25">
      <c r="B535" s="43"/>
      <c r="D535" s="42"/>
    </row>
    <row r="536" spans="2:4" x14ac:dyDescent="0.25">
      <c r="B536" s="43"/>
      <c r="D536" s="42"/>
    </row>
    <row r="537" spans="2:4" x14ac:dyDescent="0.25">
      <c r="B537" s="43"/>
      <c r="D537" s="42"/>
    </row>
    <row r="538" spans="2:4" x14ac:dyDescent="0.25">
      <c r="B538" s="43"/>
      <c r="D538" s="42"/>
    </row>
    <row r="539" spans="2:4" x14ac:dyDescent="0.25">
      <c r="B539" s="43"/>
      <c r="D539" s="42"/>
    </row>
    <row r="540" spans="2:4" x14ac:dyDescent="0.25">
      <c r="B540" s="43"/>
      <c r="D540" s="42"/>
    </row>
    <row r="541" spans="2:4" x14ac:dyDescent="0.25">
      <c r="B541" s="43"/>
      <c r="D541" s="42"/>
    </row>
    <row r="542" spans="2:4" x14ac:dyDescent="0.25">
      <c r="B542" s="43"/>
      <c r="D542" s="42"/>
    </row>
    <row r="543" spans="2:4" x14ac:dyDescent="0.25">
      <c r="B543" s="43"/>
      <c r="D543" s="42"/>
    </row>
    <row r="544" spans="2:4" x14ac:dyDescent="0.25">
      <c r="B544" s="43"/>
      <c r="D544" s="42"/>
    </row>
    <row r="545" spans="2:4" x14ac:dyDescent="0.25">
      <c r="B545" s="43"/>
      <c r="D545" s="42"/>
    </row>
    <row r="546" spans="2:4" x14ac:dyDescent="0.25">
      <c r="B546" s="43"/>
      <c r="D546" s="42"/>
    </row>
    <row r="547" spans="2:4" x14ac:dyDescent="0.25">
      <c r="B547" s="43"/>
      <c r="D547" s="42"/>
    </row>
    <row r="548" spans="2:4" x14ac:dyDescent="0.25">
      <c r="B548" s="43"/>
      <c r="D548" s="42"/>
    </row>
    <row r="549" spans="2:4" x14ac:dyDescent="0.25">
      <c r="B549" s="43"/>
      <c r="D549" s="42"/>
    </row>
    <row r="550" spans="2:4" x14ac:dyDescent="0.25">
      <c r="B550" s="43"/>
      <c r="D550" s="42"/>
    </row>
    <row r="551" spans="2:4" x14ac:dyDescent="0.25">
      <c r="B551" s="43"/>
      <c r="D551" s="42"/>
    </row>
    <row r="552" spans="2:4" x14ac:dyDescent="0.25">
      <c r="B552" s="43"/>
      <c r="D552" s="42"/>
    </row>
    <row r="553" spans="2:4" x14ac:dyDescent="0.25">
      <c r="B553" s="43"/>
      <c r="D553" s="42"/>
    </row>
    <row r="554" spans="2:4" x14ac:dyDescent="0.25">
      <c r="B554" s="43"/>
      <c r="D554" s="42"/>
    </row>
    <row r="555" spans="2:4" x14ac:dyDescent="0.25">
      <c r="B555" s="43"/>
      <c r="D555" s="42"/>
    </row>
    <row r="556" spans="2:4" x14ac:dyDescent="0.25">
      <c r="B556" s="43"/>
      <c r="D556" s="42"/>
    </row>
    <row r="557" spans="2:4" x14ac:dyDescent="0.25">
      <c r="B557" s="43"/>
      <c r="D557" s="42"/>
    </row>
    <row r="558" spans="2:4" x14ac:dyDescent="0.25">
      <c r="B558" s="43"/>
      <c r="D558" s="42"/>
    </row>
    <row r="559" spans="2:4" x14ac:dyDescent="0.25">
      <c r="B559" s="43"/>
      <c r="D559" s="42"/>
    </row>
    <row r="560" spans="2:4" x14ac:dyDescent="0.25">
      <c r="B560" s="43"/>
      <c r="D560" s="42"/>
    </row>
    <row r="561" spans="2:4" x14ac:dyDescent="0.25">
      <c r="B561" s="43"/>
      <c r="D561" s="42"/>
    </row>
    <row r="562" spans="2:4" x14ac:dyDescent="0.25">
      <c r="B562" s="43"/>
      <c r="D562" s="42"/>
    </row>
    <row r="563" spans="2:4" x14ac:dyDescent="0.25">
      <c r="B563" s="43"/>
      <c r="D563" s="42"/>
    </row>
    <row r="564" spans="2:4" x14ac:dyDescent="0.25">
      <c r="B564" s="43"/>
      <c r="D564" s="42"/>
    </row>
    <row r="565" spans="2:4" x14ac:dyDescent="0.25">
      <c r="B565" s="43"/>
      <c r="D565" s="42"/>
    </row>
    <row r="566" spans="2:4" x14ac:dyDescent="0.25">
      <c r="B566" s="43"/>
      <c r="D566" s="42"/>
    </row>
    <row r="567" spans="2:4" x14ac:dyDescent="0.25">
      <c r="B567" s="43"/>
      <c r="D567" s="42"/>
    </row>
    <row r="568" spans="2:4" x14ac:dyDescent="0.25">
      <c r="B568" s="43"/>
      <c r="D568" s="42"/>
    </row>
    <row r="569" spans="2:4" x14ac:dyDescent="0.25">
      <c r="B569" s="43"/>
      <c r="D569" s="42"/>
    </row>
    <row r="570" spans="2:4" x14ac:dyDescent="0.25">
      <c r="B570" s="43"/>
      <c r="D570" s="42"/>
    </row>
    <row r="571" spans="2:4" x14ac:dyDescent="0.25">
      <c r="B571" s="43"/>
      <c r="D571" s="42"/>
    </row>
    <row r="572" spans="2:4" x14ac:dyDescent="0.25">
      <c r="B572" s="43"/>
      <c r="D572" s="42"/>
    </row>
    <row r="573" spans="2:4" x14ac:dyDescent="0.25">
      <c r="B573" s="43"/>
      <c r="D573" s="42"/>
    </row>
    <row r="574" spans="2:4" x14ac:dyDescent="0.25">
      <c r="B574" s="43"/>
      <c r="D574" s="42"/>
    </row>
    <row r="575" spans="2:4" x14ac:dyDescent="0.25">
      <c r="B575" s="43"/>
      <c r="D575" s="42"/>
    </row>
    <row r="576" spans="2:4" x14ac:dyDescent="0.25">
      <c r="B576" s="43"/>
      <c r="D576" s="42"/>
    </row>
    <row r="577" spans="2:4" x14ac:dyDescent="0.25">
      <c r="B577" s="43"/>
      <c r="D577" s="42"/>
    </row>
    <row r="578" spans="2:4" x14ac:dyDescent="0.25">
      <c r="B578" s="43"/>
      <c r="D578" s="42"/>
    </row>
    <row r="579" spans="2:4" x14ac:dyDescent="0.25">
      <c r="B579" s="43"/>
      <c r="D579" s="42"/>
    </row>
    <row r="580" spans="2:4" x14ac:dyDescent="0.25">
      <c r="B580" s="43"/>
      <c r="D580" s="42"/>
    </row>
    <row r="581" spans="2:4" x14ac:dyDescent="0.25">
      <c r="B581" s="43"/>
      <c r="D581" s="42"/>
    </row>
    <row r="582" spans="2:4" x14ac:dyDescent="0.25">
      <c r="B582" s="43"/>
      <c r="D582" s="42"/>
    </row>
    <row r="583" spans="2:4" x14ac:dyDescent="0.25">
      <c r="B583" s="43"/>
      <c r="D583" s="42"/>
    </row>
    <row r="584" spans="2:4" x14ac:dyDescent="0.25">
      <c r="B584" s="43"/>
      <c r="D584" s="42"/>
    </row>
    <row r="585" spans="2:4" x14ac:dyDescent="0.25">
      <c r="B585" s="43"/>
      <c r="D585" s="42"/>
    </row>
    <row r="586" spans="2:4" x14ac:dyDescent="0.25">
      <c r="B586" s="43"/>
      <c r="D586" s="42"/>
    </row>
    <row r="587" spans="2:4" x14ac:dyDescent="0.25">
      <c r="B587" s="43"/>
      <c r="D587" s="42"/>
    </row>
    <row r="588" spans="2:4" x14ac:dyDescent="0.25">
      <c r="B588" s="43"/>
      <c r="D588" s="42"/>
    </row>
    <row r="589" spans="2:4" x14ac:dyDescent="0.25">
      <c r="B589" s="43"/>
      <c r="D589" s="42"/>
    </row>
    <row r="590" spans="2:4" x14ac:dyDescent="0.25">
      <c r="B590" s="43"/>
      <c r="D590" s="42"/>
    </row>
    <row r="591" spans="2:4" x14ac:dyDescent="0.25">
      <c r="B591" s="43"/>
      <c r="D591" s="42"/>
    </row>
    <row r="592" spans="2:4" x14ac:dyDescent="0.25">
      <c r="B592" s="43"/>
      <c r="D592" s="42"/>
    </row>
    <row r="593" spans="2:4" x14ac:dyDescent="0.25">
      <c r="B593" s="43"/>
      <c r="D593" s="42"/>
    </row>
    <row r="594" spans="2:4" x14ac:dyDescent="0.25">
      <c r="B594" s="43"/>
      <c r="D594" s="42"/>
    </row>
    <row r="595" spans="2:4" x14ac:dyDescent="0.25">
      <c r="B595" s="43"/>
      <c r="D595" s="42"/>
    </row>
    <row r="596" spans="2:4" x14ac:dyDescent="0.25">
      <c r="B596" s="43"/>
      <c r="D596" s="42"/>
    </row>
    <row r="597" spans="2:4" x14ac:dyDescent="0.25">
      <c r="B597" s="43"/>
      <c r="D597" s="42"/>
    </row>
    <row r="598" spans="2:4" x14ac:dyDescent="0.25">
      <c r="B598" s="43"/>
      <c r="D598" s="42"/>
    </row>
    <row r="599" spans="2:4" x14ac:dyDescent="0.25">
      <c r="B599" s="43"/>
      <c r="D599" s="42"/>
    </row>
    <row r="600" spans="2:4" x14ac:dyDescent="0.25">
      <c r="B600" s="43"/>
      <c r="D600" s="42"/>
    </row>
    <row r="601" spans="2:4" x14ac:dyDescent="0.25">
      <c r="B601" s="43"/>
      <c r="D601" s="42"/>
    </row>
    <row r="602" spans="2:4" x14ac:dyDescent="0.25">
      <c r="B602" s="43"/>
      <c r="D602" s="42"/>
    </row>
    <row r="603" spans="2:4" x14ac:dyDescent="0.25">
      <c r="B603" s="43"/>
      <c r="D603" s="42"/>
    </row>
    <row r="604" spans="2:4" x14ac:dyDescent="0.25">
      <c r="B604" s="43"/>
      <c r="D604" s="42"/>
    </row>
    <row r="605" spans="2:4" x14ac:dyDescent="0.25">
      <c r="B605" s="43"/>
      <c r="D605" s="42"/>
    </row>
    <row r="606" spans="2:4" x14ac:dyDescent="0.25">
      <c r="B606" s="43"/>
      <c r="D606" s="42"/>
    </row>
    <row r="607" spans="2:4" x14ac:dyDescent="0.25">
      <c r="B607" s="43"/>
      <c r="D607" s="42"/>
    </row>
    <row r="608" spans="2:4" x14ac:dyDescent="0.25">
      <c r="B608" s="43"/>
      <c r="D608" s="42"/>
    </row>
    <row r="609" spans="2:4" x14ac:dyDescent="0.25">
      <c r="B609" s="43"/>
      <c r="D609" s="42"/>
    </row>
    <row r="610" spans="2:4" x14ac:dyDescent="0.25">
      <c r="B610" s="43"/>
      <c r="D610" s="42"/>
    </row>
    <row r="611" spans="2:4" x14ac:dyDescent="0.25">
      <c r="B611" s="43"/>
      <c r="D611" s="42"/>
    </row>
    <row r="612" spans="2:4" x14ac:dyDescent="0.25">
      <c r="B612" s="43"/>
      <c r="D612" s="42"/>
    </row>
    <row r="613" spans="2:4" x14ac:dyDescent="0.25">
      <c r="B613" s="43"/>
      <c r="D613" s="42"/>
    </row>
    <row r="614" spans="2:4" x14ac:dyDescent="0.25">
      <c r="B614" s="43"/>
      <c r="D614" s="42"/>
    </row>
    <row r="615" spans="2:4" x14ac:dyDescent="0.25">
      <c r="B615" s="43"/>
      <c r="D615" s="42"/>
    </row>
    <row r="616" spans="2:4" x14ac:dyDescent="0.25">
      <c r="B616" s="43"/>
      <c r="D616" s="42"/>
    </row>
    <row r="617" spans="2:4" x14ac:dyDescent="0.25">
      <c r="B617" s="43"/>
      <c r="D617" s="42"/>
    </row>
    <row r="618" spans="2:4" x14ac:dyDescent="0.25">
      <c r="B618" s="43"/>
      <c r="D618" s="42"/>
    </row>
    <row r="619" spans="2:4" x14ac:dyDescent="0.25">
      <c r="B619" s="43"/>
      <c r="D619" s="42"/>
    </row>
    <row r="620" spans="2:4" x14ac:dyDescent="0.25">
      <c r="B620" s="43"/>
      <c r="D620" s="42"/>
    </row>
    <row r="621" spans="2:4" x14ac:dyDescent="0.25">
      <c r="B621" s="43"/>
      <c r="D621" s="42"/>
    </row>
    <row r="622" spans="2:4" x14ac:dyDescent="0.25">
      <c r="B622" s="43"/>
      <c r="D622" s="42"/>
    </row>
    <row r="623" spans="2:4" x14ac:dyDescent="0.25">
      <c r="B623" s="43"/>
      <c r="D623" s="42"/>
    </row>
    <row r="624" spans="2:4" x14ac:dyDescent="0.25">
      <c r="B624" s="43"/>
      <c r="D624" s="42"/>
    </row>
    <row r="625" spans="2:4" x14ac:dyDescent="0.25">
      <c r="B625" s="43"/>
      <c r="D625" s="42"/>
    </row>
    <row r="626" spans="2:4" x14ac:dyDescent="0.25">
      <c r="B626" s="43"/>
      <c r="D626" s="42"/>
    </row>
    <row r="627" spans="2:4" x14ac:dyDescent="0.25">
      <c r="B627" s="43"/>
      <c r="D627" s="42"/>
    </row>
    <row r="628" spans="2:4" x14ac:dyDescent="0.25">
      <c r="B628" s="43"/>
      <c r="D628" s="42"/>
    </row>
    <row r="629" spans="2:4" x14ac:dyDescent="0.25">
      <c r="B629" s="43"/>
      <c r="D629" s="42"/>
    </row>
    <row r="630" spans="2:4" x14ac:dyDescent="0.25">
      <c r="B630" s="43"/>
      <c r="D630" s="42"/>
    </row>
    <row r="631" spans="2:4" x14ac:dyDescent="0.25">
      <c r="B631" s="43"/>
      <c r="D631" s="42"/>
    </row>
    <row r="632" spans="2:4" x14ac:dyDescent="0.25">
      <c r="B632" s="43"/>
      <c r="D632" s="42"/>
    </row>
    <row r="633" spans="2:4" x14ac:dyDescent="0.25">
      <c r="B633" s="43"/>
      <c r="D633" s="42"/>
    </row>
    <row r="634" spans="2:4" x14ac:dyDescent="0.25">
      <c r="B634" s="43"/>
      <c r="D634" s="42"/>
    </row>
    <row r="635" spans="2:4" x14ac:dyDescent="0.25">
      <c r="B635" s="43"/>
      <c r="D635" s="42"/>
    </row>
    <row r="636" spans="2:4" x14ac:dyDescent="0.25">
      <c r="B636" s="43"/>
      <c r="D636" s="42"/>
    </row>
    <row r="637" spans="2:4" x14ac:dyDescent="0.25">
      <c r="B637" s="43"/>
      <c r="D637" s="42"/>
    </row>
    <row r="638" spans="2:4" x14ac:dyDescent="0.25">
      <c r="B638" s="43"/>
      <c r="D638" s="42"/>
    </row>
    <row r="639" spans="2:4" x14ac:dyDescent="0.25">
      <c r="B639" s="43"/>
      <c r="D639" s="42"/>
    </row>
    <row r="640" spans="2:4" x14ac:dyDescent="0.25">
      <c r="B640" s="43"/>
      <c r="D640" s="42"/>
    </row>
    <row r="641" spans="2:4" x14ac:dyDescent="0.25">
      <c r="B641" s="43"/>
      <c r="D641" s="42"/>
    </row>
    <row r="642" spans="2:4" x14ac:dyDescent="0.25">
      <c r="B642" s="43"/>
      <c r="D642" s="42"/>
    </row>
    <row r="643" spans="2:4" x14ac:dyDescent="0.25">
      <c r="B643" s="43"/>
      <c r="D643" s="42"/>
    </row>
    <row r="644" spans="2:4" x14ac:dyDescent="0.25">
      <c r="B644" s="43"/>
      <c r="D644" s="42"/>
    </row>
    <row r="645" spans="2:4" x14ac:dyDescent="0.25">
      <c r="B645" s="43"/>
      <c r="D645" s="42"/>
    </row>
    <row r="646" spans="2:4" x14ac:dyDescent="0.25">
      <c r="B646" s="43"/>
      <c r="D646" s="42"/>
    </row>
    <row r="647" spans="2:4" x14ac:dyDescent="0.25">
      <c r="B647" s="43"/>
      <c r="D647" s="42"/>
    </row>
    <row r="648" spans="2:4" x14ac:dyDescent="0.25">
      <c r="B648" s="43"/>
      <c r="D648" s="42"/>
    </row>
    <row r="649" spans="2:4" x14ac:dyDescent="0.25">
      <c r="B649" s="43"/>
      <c r="D649" s="42"/>
    </row>
    <row r="650" spans="2:4" x14ac:dyDescent="0.25">
      <c r="B650" s="43"/>
      <c r="D650" s="42"/>
    </row>
    <row r="651" spans="2:4" x14ac:dyDescent="0.25">
      <c r="B651" s="43"/>
      <c r="D651" s="42"/>
    </row>
    <row r="652" spans="2:4" x14ac:dyDescent="0.25">
      <c r="B652" s="43"/>
      <c r="D652" s="42"/>
    </row>
    <row r="653" spans="2:4" x14ac:dyDescent="0.25">
      <c r="B653" s="43"/>
      <c r="D653" s="42"/>
    </row>
    <row r="654" spans="2:4" x14ac:dyDescent="0.25">
      <c r="B654" s="43"/>
      <c r="D654" s="42"/>
    </row>
    <row r="655" spans="2:4" x14ac:dyDescent="0.25">
      <c r="B655" s="43"/>
      <c r="D655" s="42"/>
    </row>
    <row r="656" spans="2:4" x14ac:dyDescent="0.25">
      <c r="B656" s="43"/>
      <c r="D656" s="42"/>
    </row>
    <row r="657" spans="2:4" x14ac:dyDescent="0.25">
      <c r="B657" s="43"/>
      <c r="D657" s="42"/>
    </row>
    <row r="658" spans="2:4" x14ac:dyDescent="0.25">
      <c r="B658" s="43"/>
      <c r="D658" s="42"/>
    </row>
    <row r="659" spans="2:4" x14ac:dyDescent="0.25">
      <c r="B659" s="43"/>
      <c r="D659" s="42"/>
    </row>
    <row r="660" spans="2:4" x14ac:dyDescent="0.25">
      <c r="B660" s="43"/>
      <c r="D660" s="42"/>
    </row>
    <row r="661" spans="2:4" x14ac:dyDescent="0.25">
      <c r="B661" s="43"/>
      <c r="D661" s="42"/>
    </row>
    <row r="662" spans="2:4" x14ac:dyDescent="0.25">
      <c r="B662" s="43"/>
      <c r="D662" s="42"/>
    </row>
    <row r="663" spans="2:4" x14ac:dyDescent="0.25">
      <c r="B663" s="43"/>
      <c r="D663" s="42"/>
    </row>
    <row r="664" spans="2:4" x14ac:dyDescent="0.25">
      <c r="B664" s="43"/>
      <c r="D664" s="42"/>
    </row>
    <row r="665" spans="2:4" x14ac:dyDescent="0.25">
      <c r="B665" s="43"/>
      <c r="D665" s="42"/>
    </row>
    <row r="666" spans="2:4" x14ac:dyDescent="0.25">
      <c r="B666" s="43"/>
      <c r="D666" s="42"/>
    </row>
    <row r="667" spans="2:4" x14ac:dyDescent="0.25">
      <c r="B667" s="43"/>
      <c r="D667" s="42"/>
    </row>
    <row r="668" spans="2:4" x14ac:dyDescent="0.25">
      <c r="B668" s="43"/>
      <c r="D668" s="42"/>
    </row>
    <row r="669" spans="2:4" x14ac:dyDescent="0.25">
      <c r="B669" s="43"/>
      <c r="D669" s="42"/>
    </row>
    <row r="670" spans="2:4" x14ac:dyDescent="0.25">
      <c r="B670" s="43"/>
      <c r="D670" s="42"/>
    </row>
    <row r="671" spans="2:4" x14ac:dyDescent="0.25">
      <c r="B671" s="43"/>
      <c r="D671" s="42"/>
    </row>
    <row r="672" spans="2:4" x14ac:dyDescent="0.25">
      <c r="B672" s="43"/>
      <c r="D672" s="42"/>
    </row>
    <row r="673" spans="2:4" x14ac:dyDescent="0.25">
      <c r="B673" s="43"/>
      <c r="D673" s="42"/>
    </row>
    <row r="674" spans="2:4" x14ac:dyDescent="0.25">
      <c r="B674" s="43"/>
      <c r="D674" s="42"/>
    </row>
    <row r="675" spans="2:4" x14ac:dyDescent="0.25">
      <c r="B675" s="43"/>
      <c r="D675" s="42"/>
    </row>
    <row r="676" spans="2:4" x14ac:dyDescent="0.25">
      <c r="B676" s="43"/>
      <c r="D676" s="42"/>
    </row>
    <row r="677" spans="2:4" x14ac:dyDescent="0.25">
      <c r="B677" s="43"/>
      <c r="D677" s="42"/>
    </row>
    <row r="678" spans="2:4" x14ac:dyDescent="0.25">
      <c r="B678" s="43"/>
      <c r="D678" s="42"/>
    </row>
    <row r="679" spans="2:4" x14ac:dyDescent="0.25">
      <c r="B679" s="43"/>
      <c r="D679" s="42"/>
    </row>
    <row r="680" spans="2:4" x14ac:dyDescent="0.25">
      <c r="B680" s="43"/>
      <c r="D680" s="42"/>
    </row>
    <row r="681" spans="2:4" x14ac:dyDescent="0.25">
      <c r="B681" s="43"/>
      <c r="D681" s="42"/>
    </row>
    <row r="682" spans="2:4" x14ac:dyDescent="0.25">
      <c r="B682" s="43"/>
      <c r="D682" s="42"/>
    </row>
    <row r="683" spans="2:4" x14ac:dyDescent="0.25">
      <c r="B683" s="43"/>
      <c r="D683" s="42"/>
    </row>
    <row r="684" spans="2:4" x14ac:dyDescent="0.25">
      <c r="B684" s="43"/>
      <c r="D684" s="42"/>
    </row>
    <row r="685" spans="2:4" x14ac:dyDescent="0.25">
      <c r="B685" s="43"/>
      <c r="D685" s="42"/>
    </row>
    <row r="686" spans="2:4" x14ac:dyDescent="0.25">
      <c r="B686" s="43"/>
      <c r="D686" s="42"/>
    </row>
    <row r="687" spans="2:4" x14ac:dyDescent="0.25">
      <c r="B687" s="43"/>
      <c r="D687" s="42"/>
    </row>
    <row r="688" spans="2:4" x14ac:dyDescent="0.25">
      <c r="B688" s="43"/>
      <c r="D688" s="42"/>
    </row>
    <row r="689" spans="2:4" x14ac:dyDescent="0.25">
      <c r="B689" s="43"/>
      <c r="D689" s="42"/>
    </row>
    <row r="690" spans="2:4" x14ac:dyDescent="0.25">
      <c r="B690" s="43"/>
      <c r="D690" s="42"/>
    </row>
    <row r="691" spans="2:4" x14ac:dyDescent="0.25">
      <c r="B691" s="43"/>
      <c r="D691" s="42"/>
    </row>
    <row r="692" spans="2:4" x14ac:dyDescent="0.25">
      <c r="B692" s="43"/>
      <c r="D692" s="42"/>
    </row>
    <row r="693" spans="2:4" x14ac:dyDescent="0.25">
      <c r="B693" s="43"/>
      <c r="D693" s="42"/>
    </row>
    <row r="694" spans="2:4" x14ac:dyDescent="0.25">
      <c r="B694" s="43"/>
      <c r="D694" s="42"/>
    </row>
    <row r="695" spans="2:4" x14ac:dyDescent="0.25">
      <c r="B695" s="43"/>
      <c r="D695" s="42"/>
    </row>
    <row r="696" spans="2:4" x14ac:dyDescent="0.25">
      <c r="B696" s="43"/>
      <c r="D696" s="42"/>
    </row>
    <row r="697" spans="2:4" x14ac:dyDescent="0.25">
      <c r="B697" s="43"/>
      <c r="D697" s="42"/>
    </row>
    <row r="698" spans="2:4" x14ac:dyDescent="0.25">
      <c r="B698" s="43"/>
      <c r="D698" s="42"/>
    </row>
    <row r="699" spans="2:4" x14ac:dyDescent="0.25">
      <c r="B699" s="43"/>
      <c r="D699" s="42"/>
    </row>
    <row r="700" spans="2:4" x14ac:dyDescent="0.25">
      <c r="B700" s="43"/>
      <c r="D700" s="42"/>
    </row>
    <row r="701" spans="2:4" x14ac:dyDescent="0.25">
      <c r="B701" s="43"/>
      <c r="D701" s="42"/>
    </row>
    <row r="702" spans="2:4" x14ac:dyDescent="0.25">
      <c r="B702" s="43"/>
      <c r="D702" s="42"/>
    </row>
    <row r="703" spans="2:4" x14ac:dyDescent="0.25">
      <c r="B703" s="43"/>
      <c r="D703" s="42"/>
    </row>
    <row r="704" spans="2:4" x14ac:dyDescent="0.25">
      <c r="B704" s="43"/>
      <c r="D704" s="42"/>
    </row>
    <row r="705" spans="2:4" x14ac:dyDescent="0.25">
      <c r="B705" s="43"/>
      <c r="D705" s="42"/>
    </row>
    <row r="706" spans="2:4" x14ac:dyDescent="0.25">
      <c r="B706" s="43"/>
      <c r="D706" s="42"/>
    </row>
    <row r="707" spans="2:4" x14ac:dyDescent="0.25">
      <c r="B707" s="43"/>
      <c r="D707" s="42"/>
    </row>
    <row r="708" spans="2:4" x14ac:dyDescent="0.25">
      <c r="B708" s="43"/>
      <c r="D708" s="42"/>
    </row>
    <row r="709" spans="2:4" x14ac:dyDescent="0.25">
      <c r="B709" s="43"/>
      <c r="D709" s="42"/>
    </row>
    <row r="710" spans="2:4" x14ac:dyDescent="0.25">
      <c r="B710" s="43"/>
      <c r="D710" s="42"/>
    </row>
    <row r="711" spans="2:4" x14ac:dyDescent="0.25">
      <c r="B711" s="43"/>
      <c r="D711" s="42"/>
    </row>
    <row r="712" spans="2:4" x14ac:dyDescent="0.25">
      <c r="B712" s="43"/>
      <c r="D712" s="42"/>
    </row>
    <row r="713" spans="2:4" x14ac:dyDescent="0.25">
      <c r="B713" s="43"/>
      <c r="D713" s="42"/>
    </row>
    <row r="714" spans="2:4" x14ac:dyDescent="0.25">
      <c r="B714" s="43"/>
      <c r="D714" s="42"/>
    </row>
    <row r="715" spans="2:4" x14ac:dyDescent="0.25">
      <c r="B715" s="43"/>
      <c r="D715" s="42"/>
    </row>
    <row r="716" spans="2:4" x14ac:dyDescent="0.25">
      <c r="B716" s="43"/>
      <c r="D716" s="42"/>
    </row>
    <row r="717" spans="2:4" x14ac:dyDescent="0.25">
      <c r="B717" s="43"/>
      <c r="D717" s="42"/>
    </row>
    <row r="718" spans="2:4" x14ac:dyDescent="0.25">
      <c r="B718" s="43"/>
      <c r="D718" s="42"/>
    </row>
    <row r="719" spans="2:4" x14ac:dyDescent="0.25">
      <c r="B719" s="43"/>
      <c r="D719" s="42"/>
    </row>
    <row r="720" spans="2:4" x14ac:dyDescent="0.25">
      <c r="B720" s="43"/>
      <c r="D720" s="42"/>
    </row>
    <row r="721" spans="2:4" x14ac:dyDescent="0.25">
      <c r="B721" s="43"/>
      <c r="D721" s="42"/>
    </row>
    <row r="722" spans="2:4" x14ac:dyDescent="0.25">
      <c r="B722" s="43"/>
      <c r="D722" s="42"/>
    </row>
    <row r="723" spans="2:4" x14ac:dyDescent="0.25">
      <c r="B723" s="43"/>
      <c r="D723" s="42"/>
    </row>
    <row r="724" spans="2:4" x14ac:dyDescent="0.25">
      <c r="B724" s="43"/>
      <c r="D724" s="42"/>
    </row>
    <row r="725" spans="2:4" x14ac:dyDescent="0.25">
      <c r="B725" s="43"/>
      <c r="D725" s="42"/>
    </row>
    <row r="726" spans="2:4" x14ac:dyDescent="0.25">
      <c r="B726" s="43"/>
      <c r="D726" s="42"/>
    </row>
    <row r="727" spans="2:4" x14ac:dyDescent="0.25">
      <c r="B727" s="43"/>
      <c r="D727" s="42"/>
    </row>
    <row r="728" spans="2:4" x14ac:dyDescent="0.25">
      <c r="B728" s="43"/>
      <c r="D728" s="42"/>
    </row>
    <row r="729" spans="2:4" x14ac:dyDescent="0.25">
      <c r="B729" s="43"/>
      <c r="D729" s="42"/>
    </row>
    <row r="730" spans="2:4" x14ac:dyDescent="0.25">
      <c r="B730" s="43"/>
      <c r="D730" s="42"/>
    </row>
    <row r="731" spans="2:4" x14ac:dyDescent="0.25">
      <c r="B731" s="43"/>
      <c r="D731" s="42"/>
    </row>
    <row r="732" spans="2:4" x14ac:dyDescent="0.25">
      <c r="B732" s="43"/>
      <c r="D732" s="42"/>
    </row>
    <row r="733" spans="2:4" x14ac:dyDescent="0.25">
      <c r="B733" s="43"/>
      <c r="D733" s="42"/>
    </row>
    <row r="734" spans="2:4" x14ac:dyDescent="0.25">
      <c r="B734" s="43"/>
      <c r="D734" s="42"/>
    </row>
    <row r="735" spans="2:4" x14ac:dyDescent="0.25">
      <c r="B735" s="43"/>
      <c r="D735" s="42"/>
    </row>
    <row r="736" spans="2:4" x14ac:dyDescent="0.25">
      <c r="B736" s="43"/>
      <c r="D736" s="42"/>
    </row>
    <row r="737" spans="2:4" x14ac:dyDescent="0.25">
      <c r="B737" s="43"/>
      <c r="D737" s="42"/>
    </row>
    <row r="738" spans="2:4" x14ac:dyDescent="0.25">
      <c r="B738" s="43"/>
      <c r="D738" s="42"/>
    </row>
    <row r="739" spans="2:4" x14ac:dyDescent="0.25">
      <c r="B739" s="43"/>
      <c r="D739" s="42"/>
    </row>
    <row r="740" spans="2:4" x14ac:dyDescent="0.25">
      <c r="B740" s="43"/>
      <c r="D740" s="42"/>
    </row>
    <row r="741" spans="2:4" x14ac:dyDescent="0.25">
      <c r="B741" s="43"/>
      <c r="D741" s="42"/>
    </row>
    <row r="742" spans="2:4" x14ac:dyDescent="0.25">
      <c r="B742" s="43"/>
      <c r="D742" s="42"/>
    </row>
    <row r="743" spans="2:4" x14ac:dyDescent="0.25">
      <c r="B743" s="43"/>
      <c r="D743" s="42"/>
    </row>
    <row r="744" spans="2:4" x14ac:dyDescent="0.25">
      <c r="B744" s="43"/>
      <c r="D744" s="42"/>
    </row>
    <row r="745" spans="2:4" x14ac:dyDescent="0.25">
      <c r="B745" s="43"/>
      <c r="D745" s="42"/>
    </row>
    <row r="746" spans="2:4" x14ac:dyDescent="0.25">
      <c r="B746" s="43"/>
      <c r="D746" s="42"/>
    </row>
    <row r="747" spans="2:4" x14ac:dyDescent="0.25">
      <c r="B747" s="43"/>
      <c r="D747" s="42"/>
    </row>
    <row r="748" spans="2:4" x14ac:dyDescent="0.25">
      <c r="B748" s="43"/>
      <c r="D748" s="42"/>
    </row>
    <row r="749" spans="2:4" x14ac:dyDescent="0.25">
      <c r="B749" s="43"/>
      <c r="D749" s="42"/>
    </row>
    <row r="750" spans="2:4" x14ac:dyDescent="0.25">
      <c r="B750" s="43"/>
      <c r="D750" s="42"/>
    </row>
    <row r="751" spans="2:4" x14ac:dyDescent="0.25">
      <c r="B751" s="43"/>
      <c r="D751" s="42"/>
    </row>
    <row r="752" spans="2:4" x14ac:dyDescent="0.25">
      <c r="B752" s="43"/>
      <c r="D752" s="42"/>
    </row>
    <row r="753" spans="2:4" x14ac:dyDescent="0.25">
      <c r="B753" s="43"/>
      <c r="D753" s="42"/>
    </row>
    <row r="754" spans="2:4" x14ac:dyDescent="0.25">
      <c r="B754" s="43"/>
      <c r="D754" s="42"/>
    </row>
    <row r="755" spans="2:4" x14ac:dyDescent="0.25">
      <c r="B755" s="43"/>
      <c r="D755" s="42"/>
    </row>
    <row r="756" spans="2:4" x14ac:dyDescent="0.25">
      <c r="B756" s="43"/>
      <c r="D756" s="42"/>
    </row>
    <row r="757" spans="2:4" x14ac:dyDescent="0.25">
      <c r="B757" s="43"/>
      <c r="D757" s="42"/>
    </row>
    <row r="758" spans="2:4" x14ac:dyDescent="0.25">
      <c r="B758" s="43"/>
      <c r="D758" s="42"/>
    </row>
    <row r="759" spans="2:4" x14ac:dyDescent="0.25">
      <c r="B759" s="43"/>
      <c r="D759" s="42"/>
    </row>
    <row r="760" spans="2:4" x14ac:dyDescent="0.25">
      <c r="B760" s="43"/>
      <c r="D760" s="42"/>
    </row>
    <row r="761" spans="2:4" x14ac:dyDescent="0.25">
      <c r="B761" s="43"/>
      <c r="D761" s="42"/>
    </row>
    <row r="762" spans="2:4" x14ac:dyDescent="0.25">
      <c r="B762" s="43"/>
      <c r="D762" s="42"/>
    </row>
    <row r="763" spans="2:4" x14ac:dyDescent="0.25">
      <c r="B763" s="43"/>
      <c r="D763" s="42"/>
    </row>
    <row r="764" spans="2:4" x14ac:dyDescent="0.25">
      <c r="B764" s="43"/>
      <c r="D764" s="42"/>
    </row>
    <row r="765" spans="2:4" x14ac:dyDescent="0.25">
      <c r="B765" s="43"/>
      <c r="D765" s="42"/>
    </row>
    <row r="766" spans="2:4" x14ac:dyDescent="0.25">
      <c r="B766" s="43"/>
      <c r="D766" s="42"/>
    </row>
    <row r="767" spans="2:4" x14ac:dyDescent="0.25">
      <c r="B767" s="43"/>
      <c r="D767" s="42"/>
    </row>
    <row r="768" spans="2:4" x14ac:dyDescent="0.25">
      <c r="B768" s="43"/>
      <c r="D768" s="42"/>
    </row>
    <row r="769" spans="2:4" x14ac:dyDescent="0.25">
      <c r="B769" s="43"/>
      <c r="D769" s="42"/>
    </row>
    <row r="770" spans="2:4" x14ac:dyDescent="0.25">
      <c r="B770" s="43"/>
      <c r="D770" s="42"/>
    </row>
    <row r="771" spans="2:4" x14ac:dyDescent="0.25">
      <c r="B771" s="43"/>
      <c r="D771" s="42"/>
    </row>
    <row r="772" spans="2:4" x14ac:dyDescent="0.25">
      <c r="B772" s="43"/>
      <c r="D772" s="42"/>
    </row>
    <row r="773" spans="2:4" x14ac:dyDescent="0.25">
      <c r="B773" s="43"/>
      <c r="D773" s="42"/>
    </row>
    <row r="774" spans="2:4" x14ac:dyDescent="0.25">
      <c r="B774" s="43"/>
      <c r="D774" s="42"/>
    </row>
    <row r="775" spans="2:4" x14ac:dyDescent="0.25">
      <c r="B775" s="43"/>
      <c r="D775" s="42"/>
    </row>
    <row r="776" spans="2:4" x14ac:dyDescent="0.25">
      <c r="B776" s="43"/>
      <c r="D776" s="42"/>
    </row>
    <row r="777" spans="2:4" x14ac:dyDescent="0.25">
      <c r="B777" s="43"/>
      <c r="D777" s="42"/>
    </row>
    <row r="778" spans="2:4" x14ac:dyDescent="0.25">
      <c r="B778" s="43"/>
      <c r="D778" s="42"/>
    </row>
    <row r="779" spans="2:4" x14ac:dyDescent="0.25">
      <c r="B779" s="43"/>
      <c r="D779" s="42"/>
    </row>
    <row r="780" spans="2:4" x14ac:dyDescent="0.25">
      <c r="B780" s="43"/>
      <c r="D780" s="42"/>
    </row>
    <row r="781" spans="2:4" x14ac:dyDescent="0.25">
      <c r="B781" s="43"/>
      <c r="D781" s="42"/>
    </row>
    <row r="782" spans="2:4" x14ac:dyDescent="0.25">
      <c r="B782" s="43"/>
      <c r="D782" s="42"/>
    </row>
    <row r="783" spans="2:4" x14ac:dyDescent="0.25">
      <c r="B783" s="43"/>
      <c r="D783" s="42"/>
    </row>
    <row r="784" spans="2:4" x14ac:dyDescent="0.25">
      <c r="B784" s="43"/>
      <c r="D784" s="42"/>
    </row>
    <row r="785" spans="2:4" x14ac:dyDescent="0.25">
      <c r="B785" s="43"/>
      <c r="D785" s="42"/>
    </row>
    <row r="786" spans="2:4" x14ac:dyDescent="0.25">
      <c r="B786" s="43"/>
      <c r="D786" s="42"/>
    </row>
    <row r="787" spans="2:4" x14ac:dyDescent="0.25">
      <c r="B787" s="43"/>
      <c r="D787" s="42"/>
    </row>
    <row r="788" spans="2:4" x14ac:dyDescent="0.25">
      <c r="B788" s="43"/>
      <c r="D788" s="42"/>
    </row>
    <row r="789" spans="2:4" x14ac:dyDescent="0.25">
      <c r="B789" s="43"/>
      <c r="D789" s="42"/>
    </row>
    <row r="790" spans="2:4" x14ac:dyDescent="0.25">
      <c r="B790" s="43"/>
      <c r="D790" s="42"/>
    </row>
    <row r="791" spans="2:4" x14ac:dyDescent="0.25">
      <c r="B791" s="43"/>
      <c r="D791" s="42"/>
    </row>
    <row r="792" spans="2:4" x14ac:dyDescent="0.25">
      <c r="B792" s="43"/>
      <c r="D792" s="42"/>
    </row>
    <row r="793" spans="2:4" x14ac:dyDescent="0.25">
      <c r="B793" s="43"/>
      <c r="D793" s="42"/>
    </row>
    <row r="794" spans="2:4" x14ac:dyDescent="0.25">
      <c r="B794" s="43"/>
      <c r="D794" s="42"/>
    </row>
    <row r="795" spans="2:4" x14ac:dyDescent="0.25">
      <c r="B795" s="43"/>
      <c r="D795" s="42"/>
    </row>
    <row r="796" spans="2:4" x14ac:dyDescent="0.25">
      <c r="B796" s="43"/>
      <c r="D796" s="42"/>
    </row>
    <row r="797" spans="2:4" x14ac:dyDescent="0.25">
      <c r="B797" s="43"/>
      <c r="D797" s="42"/>
    </row>
    <row r="798" spans="2:4" x14ac:dyDescent="0.25">
      <c r="B798" s="43"/>
      <c r="D798" s="42"/>
    </row>
    <row r="799" spans="2:4" x14ac:dyDescent="0.25">
      <c r="B799" s="43"/>
      <c r="D799" s="42"/>
    </row>
    <row r="800" spans="2:4" x14ac:dyDescent="0.25">
      <c r="B800" s="43"/>
      <c r="D800" s="42"/>
    </row>
    <row r="801" spans="2:4" x14ac:dyDescent="0.25">
      <c r="B801" s="43"/>
      <c r="D801" s="42"/>
    </row>
    <row r="802" spans="2:4" x14ac:dyDescent="0.25">
      <c r="B802" s="43"/>
      <c r="D802" s="42"/>
    </row>
    <row r="803" spans="2:4" x14ac:dyDescent="0.25">
      <c r="B803" s="43"/>
      <c r="D803" s="42"/>
    </row>
    <row r="804" spans="2:4" x14ac:dyDescent="0.25">
      <c r="B804" s="43"/>
      <c r="D804" s="42"/>
    </row>
    <row r="805" spans="2:4" x14ac:dyDescent="0.25">
      <c r="B805" s="43"/>
      <c r="D805" s="42"/>
    </row>
    <row r="806" spans="2:4" x14ac:dyDescent="0.25">
      <c r="B806" s="43"/>
      <c r="D806" s="42"/>
    </row>
    <row r="807" spans="2:4" x14ac:dyDescent="0.25">
      <c r="B807" s="43"/>
      <c r="D807" s="42"/>
    </row>
    <row r="808" spans="2:4" x14ac:dyDescent="0.25">
      <c r="B808" s="43"/>
      <c r="D808" s="42"/>
    </row>
    <row r="809" spans="2:4" x14ac:dyDescent="0.25">
      <c r="B809" s="43"/>
      <c r="D809" s="42"/>
    </row>
    <row r="810" spans="2:4" x14ac:dyDescent="0.25">
      <c r="B810" s="43"/>
      <c r="D810" s="42"/>
    </row>
    <row r="811" spans="2:4" x14ac:dyDescent="0.25">
      <c r="B811" s="43"/>
      <c r="D811" s="42"/>
    </row>
    <row r="812" spans="2:4" x14ac:dyDescent="0.25">
      <c r="B812" s="43"/>
      <c r="D812" s="42"/>
    </row>
    <row r="813" spans="2:4" x14ac:dyDescent="0.25">
      <c r="B813" s="43"/>
      <c r="D813" s="42"/>
    </row>
    <row r="814" spans="2:4" x14ac:dyDescent="0.25">
      <c r="B814" s="43"/>
      <c r="D814" s="42"/>
    </row>
    <row r="815" spans="2:4" x14ac:dyDescent="0.25">
      <c r="B815" s="43"/>
      <c r="D815" s="42"/>
    </row>
    <row r="816" spans="2:4" x14ac:dyDescent="0.25">
      <c r="B816" s="43"/>
      <c r="D816" s="42"/>
    </row>
    <row r="817" spans="2:4" x14ac:dyDescent="0.25">
      <c r="B817" s="43"/>
      <c r="D817" s="42"/>
    </row>
    <row r="818" spans="2:4" x14ac:dyDescent="0.25">
      <c r="B818" s="43"/>
      <c r="D818" s="42"/>
    </row>
    <row r="819" spans="2:4" x14ac:dyDescent="0.25">
      <c r="B819" s="43"/>
      <c r="D819" s="42"/>
    </row>
    <row r="820" spans="2:4" x14ac:dyDescent="0.25">
      <c r="B820" s="43"/>
      <c r="D820" s="42"/>
    </row>
    <row r="821" spans="2:4" x14ac:dyDescent="0.25">
      <c r="B821" s="43"/>
      <c r="D821" s="42"/>
    </row>
    <row r="822" spans="2:4" x14ac:dyDescent="0.25">
      <c r="B822" s="43"/>
      <c r="D822" s="42"/>
    </row>
    <row r="823" spans="2:4" x14ac:dyDescent="0.25">
      <c r="B823" s="43"/>
      <c r="D823" s="42"/>
    </row>
    <row r="824" spans="2:4" x14ac:dyDescent="0.25">
      <c r="B824" s="43"/>
      <c r="D824" s="42"/>
    </row>
    <row r="825" spans="2:4" x14ac:dyDescent="0.25">
      <c r="B825" s="43"/>
      <c r="D825" s="42"/>
    </row>
    <row r="826" spans="2:4" x14ac:dyDescent="0.25">
      <c r="B826" s="43"/>
      <c r="D826" s="42"/>
    </row>
    <row r="827" spans="2:4" x14ac:dyDescent="0.25">
      <c r="B827" s="43"/>
      <c r="D827" s="42"/>
    </row>
    <row r="828" spans="2:4" x14ac:dyDescent="0.25">
      <c r="B828" s="43"/>
      <c r="D828" s="42"/>
    </row>
    <row r="829" spans="2:4" x14ac:dyDescent="0.25">
      <c r="B829" s="43"/>
      <c r="D829" s="42"/>
    </row>
    <row r="830" spans="2:4" x14ac:dyDescent="0.25">
      <c r="B830" s="43"/>
      <c r="D830" s="42"/>
    </row>
    <row r="831" spans="2:4" x14ac:dyDescent="0.25">
      <c r="B831" s="43"/>
      <c r="D831" s="42"/>
    </row>
    <row r="832" spans="2:4" x14ac:dyDescent="0.25">
      <c r="B832" s="43"/>
      <c r="D832" s="42"/>
    </row>
    <row r="833" spans="2:4" x14ac:dyDescent="0.25">
      <c r="B833" s="43"/>
      <c r="D833" s="42"/>
    </row>
    <row r="834" spans="2:4" x14ac:dyDescent="0.25">
      <c r="B834" s="43"/>
      <c r="D834" s="42"/>
    </row>
    <row r="835" spans="2:4" x14ac:dyDescent="0.25">
      <c r="B835" s="43"/>
      <c r="D835" s="42"/>
    </row>
    <row r="836" spans="2:4" x14ac:dyDescent="0.25">
      <c r="B836" s="43"/>
      <c r="D836" s="42"/>
    </row>
    <row r="837" spans="2:4" x14ac:dyDescent="0.25">
      <c r="B837" s="43"/>
      <c r="D837" s="42"/>
    </row>
    <row r="838" spans="2:4" x14ac:dyDescent="0.25">
      <c r="B838" s="43"/>
      <c r="D838" s="42"/>
    </row>
    <row r="839" spans="2:4" x14ac:dyDescent="0.25">
      <c r="B839" s="43"/>
      <c r="D839" s="42"/>
    </row>
    <row r="840" spans="2:4" x14ac:dyDescent="0.25">
      <c r="B840" s="43"/>
      <c r="D840" s="42"/>
    </row>
    <row r="841" spans="2:4" x14ac:dyDescent="0.25">
      <c r="B841" s="43"/>
      <c r="D841" s="42"/>
    </row>
    <row r="842" spans="2:4" x14ac:dyDescent="0.25">
      <c r="B842" s="43"/>
      <c r="D842" s="42"/>
    </row>
    <row r="843" spans="2:4" x14ac:dyDescent="0.25">
      <c r="B843" s="43"/>
      <c r="D843" s="42"/>
    </row>
    <row r="844" spans="2:4" x14ac:dyDescent="0.25">
      <c r="B844" s="43"/>
      <c r="D844" s="42"/>
    </row>
    <row r="845" spans="2:4" x14ac:dyDescent="0.25">
      <c r="B845" s="43"/>
      <c r="D845" s="42"/>
    </row>
    <row r="846" spans="2:4" x14ac:dyDescent="0.25">
      <c r="B846" s="43"/>
      <c r="D846" s="42"/>
    </row>
    <row r="847" spans="2:4" x14ac:dyDescent="0.25">
      <c r="B847" s="43"/>
      <c r="D847" s="42"/>
    </row>
    <row r="848" spans="2:4" x14ac:dyDescent="0.25">
      <c r="B848" s="43"/>
      <c r="D848" s="42"/>
    </row>
    <row r="849" spans="2:4" x14ac:dyDescent="0.25">
      <c r="B849" s="43"/>
      <c r="D849" s="42"/>
    </row>
    <row r="850" spans="2:4" x14ac:dyDescent="0.25">
      <c r="B850" s="43"/>
      <c r="D850" s="42"/>
    </row>
    <row r="851" spans="2:4" x14ac:dyDescent="0.25">
      <c r="B851" s="43"/>
      <c r="D851" s="42"/>
    </row>
    <row r="852" spans="2:4" x14ac:dyDescent="0.25">
      <c r="B852" s="43"/>
      <c r="D852" s="42"/>
    </row>
    <row r="853" spans="2:4" x14ac:dyDescent="0.25">
      <c r="B853" s="43"/>
      <c r="D853" s="42"/>
    </row>
    <row r="854" spans="2:4" x14ac:dyDescent="0.25">
      <c r="B854" s="43"/>
      <c r="D854" s="42"/>
    </row>
    <row r="855" spans="2:4" x14ac:dyDescent="0.25">
      <c r="B855" s="43"/>
      <c r="D855" s="42"/>
    </row>
    <row r="856" spans="2:4" x14ac:dyDescent="0.25">
      <c r="B856" s="43"/>
      <c r="D856" s="42"/>
    </row>
    <row r="857" spans="2:4" x14ac:dyDescent="0.25">
      <c r="B857" s="43"/>
      <c r="D857" s="42"/>
    </row>
    <row r="858" spans="2:4" x14ac:dyDescent="0.25">
      <c r="B858" s="43"/>
      <c r="D858" s="42"/>
    </row>
    <row r="859" spans="2:4" x14ac:dyDescent="0.25">
      <c r="B859" s="43"/>
      <c r="D859" s="42"/>
    </row>
    <row r="860" spans="2:4" x14ac:dyDescent="0.25">
      <c r="B860" s="43"/>
      <c r="D860" s="42"/>
    </row>
    <row r="861" spans="2:4" x14ac:dyDescent="0.25">
      <c r="B861" s="43"/>
      <c r="D861" s="42"/>
    </row>
    <row r="862" spans="2:4" x14ac:dyDescent="0.25">
      <c r="B862" s="43"/>
      <c r="D862" s="42"/>
    </row>
    <row r="863" spans="2:4" x14ac:dyDescent="0.25">
      <c r="B863" s="43"/>
      <c r="D863" s="42"/>
    </row>
    <row r="864" spans="2:4" x14ac:dyDescent="0.25">
      <c r="B864" s="43"/>
      <c r="D864" s="42"/>
    </row>
    <row r="865" spans="2:4" x14ac:dyDescent="0.25">
      <c r="B865" s="43"/>
      <c r="D865" s="42"/>
    </row>
    <row r="866" spans="2:4" x14ac:dyDescent="0.25">
      <c r="B866" s="43"/>
      <c r="D866" s="42"/>
    </row>
    <row r="867" spans="2:4" x14ac:dyDescent="0.25">
      <c r="B867" s="43"/>
      <c r="D867" s="42"/>
    </row>
    <row r="868" spans="2:4" x14ac:dyDescent="0.25">
      <c r="B868" s="43"/>
      <c r="D868" s="42"/>
    </row>
    <row r="869" spans="2:4" x14ac:dyDescent="0.25">
      <c r="B869" s="43"/>
      <c r="D869" s="42"/>
    </row>
    <row r="870" spans="2:4" x14ac:dyDescent="0.25">
      <c r="B870" s="43"/>
      <c r="D870" s="42"/>
    </row>
    <row r="871" spans="2:4" x14ac:dyDescent="0.25">
      <c r="B871" s="43"/>
      <c r="D871" s="42"/>
    </row>
    <row r="872" spans="2:4" x14ac:dyDescent="0.25">
      <c r="B872" s="43"/>
      <c r="D872" s="42"/>
    </row>
    <row r="873" spans="2:4" x14ac:dyDescent="0.25">
      <c r="B873" s="43"/>
      <c r="D873" s="42"/>
    </row>
    <row r="874" spans="2:4" x14ac:dyDescent="0.25">
      <c r="B874" s="43"/>
      <c r="D874" s="42"/>
    </row>
    <row r="875" spans="2:4" x14ac:dyDescent="0.25">
      <c r="B875" s="43"/>
      <c r="D875" s="42"/>
    </row>
    <row r="876" spans="2:4" x14ac:dyDescent="0.25">
      <c r="B876" s="43"/>
      <c r="D876" s="42"/>
    </row>
    <row r="877" spans="2:4" x14ac:dyDescent="0.25">
      <c r="B877" s="43"/>
      <c r="D877" s="42"/>
    </row>
    <row r="878" spans="2:4" x14ac:dyDescent="0.25">
      <c r="B878" s="43"/>
      <c r="D878" s="42"/>
    </row>
    <row r="879" spans="2:4" x14ac:dyDescent="0.25">
      <c r="B879" s="43"/>
      <c r="D879" s="42"/>
    </row>
    <row r="880" spans="2:4" x14ac:dyDescent="0.25">
      <c r="B880" s="43"/>
      <c r="D880" s="42"/>
    </row>
    <row r="881" spans="2:4" x14ac:dyDescent="0.25">
      <c r="B881" s="43"/>
      <c r="D881" s="42"/>
    </row>
    <row r="882" spans="2:4" x14ac:dyDescent="0.25">
      <c r="B882" s="43"/>
      <c r="D882" s="42"/>
    </row>
    <row r="883" spans="2:4" x14ac:dyDescent="0.25">
      <c r="B883" s="43"/>
      <c r="D883" s="42"/>
    </row>
    <row r="884" spans="2:4" x14ac:dyDescent="0.25">
      <c r="B884" s="43"/>
      <c r="D884" s="42"/>
    </row>
    <row r="885" spans="2:4" x14ac:dyDescent="0.25">
      <c r="B885" s="43"/>
      <c r="D885" s="42"/>
    </row>
    <row r="886" spans="2:4" x14ac:dyDescent="0.25">
      <c r="B886" s="43"/>
      <c r="D886" s="42"/>
    </row>
    <row r="887" spans="2:4" x14ac:dyDescent="0.25">
      <c r="B887" s="43"/>
      <c r="D887" s="42"/>
    </row>
    <row r="888" spans="2:4" x14ac:dyDescent="0.25">
      <c r="B888" s="43"/>
      <c r="D888" s="42"/>
    </row>
    <row r="889" spans="2:4" x14ac:dyDescent="0.25">
      <c r="B889" s="43"/>
      <c r="D889" s="42"/>
    </row>
    <row r="890" spans="2:4" x14ac:dyDescent="0.25">
      <c r="B890" s="43"/>
      <c r="D890" s="42"/>
    </row>
    <row r="891" spans="2:4" x14ac:dyDescent="0.25">
      <c r="B891" s="43"/>
      <c r="D891" s="42"/>
    </row>
    <row r="892" spans="2:4" x14ac:dyDescent="0.25">
      <c r="B892" s="43"/>
      <c r="D892" s="42"/>
    </row>
    <row r="893" spans="2:4" x14ac:dyDescent="0.25">
      <c r="B893" s="43"/>
      <c r="D893" s="42"/>
    </row>
    <row r="894" spans="2:4" x14ac:dyDescent="0.25">
      <c r="B894" s="43"/>
      <c r="D894" s="42"/>
    </row>
    <row r="895" spans="2:4" x14ac:dyDescent="0.25">
      <c r="B895" s="43"/>
      <c r="D895" s="42"/>
    </row>
    <row r="896" spans="2:4" x14ac:dyDescent="0.25">
      <c r="B896" s="43"/>
      <c r="D896" s="42"/>
    </row>
    <row r="897" spans="2:4" x14ac:dyDescent="0.25">
      <c r="B897" s="43"/>
      <c r="D897" s="42"/>
    </row>
    <row r="898" spans="2:4" x14ac:dyDescent="0.25">
      <c r="B898" s="43"/>
      <c r="D898" s="42"/>
    </row>
    <row r="899" spans="2:4" x14ac:dyDescent="0.25">
      <c r="B899" s="43"/>
      <c r="D899" s="42"/>
    </row>
    <row r="900" spans="2:4" x14ac:dyDescent="0.25">
      <c r="B900" s="43"/>
      <c r="D900" s="42"/>
    </row>
    <row r="901" spans="2:4" x14ac:dyDescent="0.25">
      <c r="B901" s="43"/>
      <c r="D901" s="42"/>
    </row>
    <row r="902" spans="2:4" x14ac:dyDescent="0.25">
      <c r="B902" s="43"/>
      <c r="D902" s="42"/>
    </row>
    <row r="903" spans="2:4" x14ac:dyDescent="0.25">
      <c r="B903" s="43"/>
      <c r="D903" s="42"/>
    </row>
    <row r="904" spans="2:4" x14ac:dyDescent="0.25">
      <c r="B904" s="43"/>
      <c r="D904" s="42"/>
    </row>
    <row r="905" spans="2:4" x14ac:dyDescent="0.25">
      <c r="B905" s="43"/>
      <c r="D905" s="42"/>
    </row>
    <row r="906" spans="2:4" x14ac:dyDescent="0.25">
      <c r="B906" s="43"/>
      <c r="D906" s="42"/>
    </row>
    <row r="907" spans="2:4" x14ac:dyDescent="0.25">
      <c r="B907" s="43"/>
      <c r="D907" s="42"/>
    </row>
    <row r="908" spans="2:4" x14ac:dyDescent="0.25">
      <c r="B908" s="43"/>
      <c r="D908" s="42"/>
    </row>
    <row r="909" spans="2:4" x14ac:dyDescent="0.25">
      <c r="B909" s="43"/>
      <c r="D909" s="42"/>
    </row>
    <row r="910" spans="2:4" x14ac:dyDescent="0.25">
      <c r="B910" s="43"/>
      <c r="D910" s="42"/>
    </row>
    <row r="911" spans="2:4" x14ac:dyDescent="0.25">
      <c r="B911" s="43"/>
      <c r="D911" s="42"/>
    </row>
    <row r="912" spans="2:4" x14ac:dyDescent="0.25">
      <c r="B912" s="43"/>
      <c r="D912" s="42"/>
    </row>
    <row r="913" spans="2:4" x14ac:dyDescent="0.25">
      <c r="B913" s="43"/>
      <c r="D913" s="42"/>
    </row>
    <row r="914" spans="2:4" x14ac:dyDescent="0.25">
      <c r="B914" s="43"/>
      <c r="D914" s="42"/>
    </row>
    <row r="915" spans="2:4" x14ac:dyDescent="0.25">
      <c r="B915" s="43"/>
      <c r="D915" s="42"/>
    </row>
    <row r="916" spans="2:4" x14ac:dyDescent="0.25">
      <c r="B916" s="43"/>
      <c r="D916" s="42"/>
    </row>
    <row r="917" spans="2:4" x14ac:dyDescent="0.25">
      <c r="B917" s="43"/>
      <c r="D917" s="42"/>
    </row>
    <row r="918" spans="2:4" x14ac:dyDescent="0.25">
      <c r="B918" s="43"/>
      <c r="D918" s="42"/>
    </row>
    <row r="919" spans="2:4" x14ac:dyDescent="0.25">
      <c r="B919" s="43"/>
      <c r="D919" s="42"/>
    </row>
    <row r="920" spans="2:4" x14ac:dyDescent="0.25">
      <c r="B920" s="43"/>
      <c r="D920" s="42"/>
    </row>
    <row r="921" spans="2:4" x14ac:dyDescent="0.25">
      <c r="B921" s="43"/>
      <c r="D921" s="42"/>
    </row>
    <row r="922" spans="2:4" x14ac:dyDescent="0.25">
      <c r="B922" s="43"/>
      <c r="D922" s="42"/>
    </row>
    <row r="923" spans="2:4" x14ac:dyDescent="0.25">
      <c r="B923" s="43"/>
      <c r="D923" s="42"/>
    </row>
    <row r="924" spans="2:4" x14ac:dyDescent="0.25">
      <c r="B924" s="43"/>
      <c r="D924" s="42"/>
    </row>
    <row r="925" spans="2:4" x14ac:dyDescent="0.25">
      <c r="B925" s="43"/>
      <c r="D925" s="42"/>
    </row>
    <row r="926" spans="2:4" x14ac:dyDescent="0.25">
      <c r="B926" s="43"/>
      <c r="D926" s="42"/>
    </row>
    <row r="927" spans="2:4" x14ac:dyDescent="0.25">
      <c r="B927" s="43"/>
      <c r="D927" s="42"/>
    </row>
    <row r="928" spans="2:4" x14ac:dyDescent="0.25">
      <c r="B928" s="43"/>
      <c r="D928" s="42"/>
    </row>
    <row r="929" spans="2:4" x14ac:dyDescent="0.25">
      <c r="B929" s="43"/>
      <c r="D929" s="42"/>
    </row>
    <row r="930" spans="2:4" x14ac:dyDescent="0.25">
      <c r="B930" s="43"/>
      <c r="D930" s="42"/>
    </row>
    <row r="931" spans="2:4" x14ac:dyDescent="0.25">
      <c r="B931" s="43"/>
      <c r="D931" s="42"/>
    </row>
    <row r="932" spans="2:4" x14ac:dyDescent="0.25">
      <c r="B932" s="43"/>
      <c r="D932" s="42"/>
    </row>
    <row r="933" spans="2:4" x14ac:dyDescent="0.25">
      <c r="B933" s="43"/>
      <c r="D933" s="42"/>
    </row>
    <row r="934" spans="2:4" x14ac:dyDescent="0.25">
      <c r="B934" s="43"/>
      <c r="D934" s="42"/>
    </row>
    <row r="935" spans="2:4" x14ac:dyDescent="0.25">
      <c r="B935" s="43"/>
      <c r="D935" s="42"/>
    </row>
    <row r="936" spans="2:4" x14ac:dyDescent="0.25">
      <c r="B936" s="43"/>
      <c r="D936" s="42"/>
    </row>
    <row r="937" spans="2:4" x14ac:dyDescent="0.25">
      <c r="B937" s="43"/>
      <c r="D937" s="42"/>
    </row>
    <row r="938" spans="2:4" x14ac:dyDescent="0.25">
      <c r="B938" s="43"/>
      <c r="D938" s="42"/>
    </row>
    <row r="939" spans="2:4" x14ac:dyDescent="0.25">
      <c r="B939" s="43"/>
      <c r="D939" s="42"/>
    </row>
    <row r="940" spans="2:4" x14ac:dyDescent="0.25">
      <c r="B940" s="43"/>
      <c r="D940" s="42"/>
    </row>
    <row r="941" spans="2:4" x14ac:dyDescent="0.25">
      <c r="B941" s="43"/>
      <c r="D941" s="42"/>
    </row>
    <row r="942" spans="2:4" x14ac:dyDescent="0.25">
      <c r="B942" s="43"/>
      <c r="D942" s="42"/>
    </row>
    <row r="943" spans="2:4" x14ac:dyDescent="0.25">
      <c r="B943" s="43"/>
      <c r="D943" s="42"/>
    </row>
    <row r="944" spans="2:4" x14ac:dyDescent="0.25">
      <c r="B944" s="43"/>
      <c r="D944" s="42"/>
    </row>
    <row r="945" spans="2:4" x14ac:dyDescent="0.25">
      <c r="B945" s="43"/>
      <c r="D945" s="42"/>
    </row>
    <row r="946" spans="2:4" x14ac:dyDescent="0.25">
      <c r="B946" s="43"/>
      <c r="D946" s="42"/>
    </row>
    <row r="947" spans="2:4" x14ac:dyDescent="0.25">
      <c r="B947" s="43"/>
      <c r="D947" s="42"/>
    </row>
    <row r="948" spans="2:4" x14ac:dyDescent="0.25">
      <c r="B948" s="43"/>
      <c r="D948" s="42"/>
    </row>
    <row r="949" spans="2:4" x14ac:dyDescent="0.25">
      <c r="B949" s="43"/>
      <c r="D949" s="42"/>
    </row>
    <row r="950" spans="2:4" x14ac:dyDescent="0.25">
      <c r="B950" s="43"/>
      <c r="D950" s="42"/>
    </row>
    <row r="951" spans="2:4" x14ac:dyDescent="0.25">
      <c r="B951" s="43"/>
      <c r="D951" s="42"/>
    </row>
    <row r="952" spans="2:4" x14ac:dyDescent="0.25">
      <c r="B952" s="43"/>
      <c r="D952" s="42"/>
    </row>
    <row r="953" spans="2:4" x14ac:dyDescent="0.25">
      <c r="B953" s="43"/>
      <c r="D953" s="42"/>
    </row>
    <row r="954" spans="2:4" x14ac:dyDescent="0.25">
      <c r="B954" s="43"/>
      <c r="D954" s="42"/>
    </row>
    <row r="955" spans="2:4" x14ac:dyDescent="0.25">
      <c r="B955" s="43"/>
      <c r="D955" s="42"/>
    </row>
    <row r="956" spans="2:4" x14ac:dyDescent="0.25">
      <c r="B956" s="43"/>
      <c r="D956" s="42"/>
    </row>
    <row r="957" spans="2:4" x14ac:dyDescent="0.25">
      <c r="B957" s="43"/>
      <c r="D957" s="42"/>
    </row>
  </sheetData>
  <pageMargins left="0.31496062992125984" right="0.31496062992125984" top="0.35433070866141736" bottom="0.15748031496062992" header="0.31496062992125984" footer="0.31496062992125984"/>
  <pageSetup paperSize="8" scale="25" fitToHeight="2" orientation="landscape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Caino Biagio</cp:lastModifiedBy>
  <cp:lastPrinted>2012-12-12T14:50:44Z</cp:lastPrinted>
  <dcterms:created xsi:type="dcterms:W3CDTF">2012-11-26T13:38:00Z</dcterms:created>
  <dcterms:modified xsi:type="dcterms:W3CDTF">2013-01-24T09:25:46Z</dcterms:modified>
</cp:coreProperties>
</file>